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0" yWindow="0" windowWidth="25600" windowHeight="16060" tabRatio="500"/>
  </bookViews>
  <sheets>
    <sheet name="APP-E1-1Job's plot" sheetId="2" r:id="rId1"/>
    <sheet name="APP-E2 Rose-Drago " sheetId="3" r:id="rId2"/>
    <sheet name="APP-E3 1to2 CompAnal" sheetId="4" r:id="rId3"/>
    <sheet name="APP-E4 1to1&amp;2to1MixCompAnal" sheetId="5" r:id="rId4"/>
  </sheets>
  <externalReferences>
    <externalReference r:id="rId5"/>
    <externalReference r:id="rId6"/>
  </externalReferences>
  <definedNames>
    <definedName name="_ENREF_12" localSheetId="0">'APP-E1-1Job''s plot'!#REF!</definedName>
    <definedName name="_ENREF_16" localSheetId="0">'APP-E1-1Job''s plot'!$N$8</definedName>
    <definedName name="O" localSheetId="3">'[1]20℃'!$A$47</definedName>
    <definedName name="O">'[2]20℃'!$A$47</definedName>
    <definedName name="_xlnm.Print_Area" localSheetId="0">'APP-E1-1Job''s plot'!$A$1:$L$44</definedName>
    <definedName name="_xlnm.Print_Area" localSheetId="1">'APP-E2 Rose-Drago '!$A$1:$K$68</definedName>
    <definedName name="_xlnm.Print_Area" localSheetId="2">'APP-E3 1to2 CompAnal'!$A$1:$R$42</definedName>
    <definedName name="_xlnm.Print_Area" localSheetId="3">'APP-E4 1to1&amp;2to1MixCompAnal'!$A$1:$T$57</definedName>
    <definedName name="Sanji" localSheetId="3">#REF!</definedName>
    <definedName name="Sanji">#REF!</definedName>
    <definedName name="solver_adj" localSheetId="0" hidden="1">'APP-E1-1Job''s plot'!$J$19,'APP-E1-1Job''s plot'!$I$19</definedName>
    <definedName name="solver_adj" localSheetId="2" hidden="1">'APP-E3 1to2 CompAnal'!$K$8:$K$10</definedName>
    <definedName name="solver_adj" localSheetId="3" hidden="1">'APP-E4 1to1&amp;2to1MixCompAnal'!$K$8:$K$12</definedName>
    <definedName name="solver_cvg" localSheetId="0" hidden="1">0.0001</definedName>
    <definedName name="solver_cvg" localSheetId="2" hidden="1">0.0000001</definedName>
    <definedName name="solver_cvg" localSheetId="3" hidden="1">0.00001</definedName>
    <definedName name="solver_drv" localSheetId="0" hidden="1">1</definedName>
    <definedName name="solver_drv" localSheetId="2" hidden="1">1</definedName>
    <definedName name="solver_drv" localSheetId="3" hidden="1">1</definedName>
    <definedName name="solver_eng" localSheetId="3" hidden="1">1</definedName>
    <definedName name="solver_est" localSheetId="0" hidden="1">1</definedName>
    <definedName name="solver_est" localSheetId="2" hidden="1">1</definedName>
    <definedName name="solver_est" localSheetId="3" hidden="1">1</definedName>
    <definedName name="solver_itr" localSheetId="0" hidden="1">100</definedName>
    <definedName name="solver_itr" localSheetId="2" hidden="1">100</definedName>
    <definedName name="solver_itr" localSheetId="3" hidden="1">100</definedName>
    <definedName name="solver_lhs1" localSheetId="2" hidden="1">'APP-E3 1to2 CompAnal'!$I$9</definedName>
    <definedName name="solver_lhs1" localSheetId="3" hidden="1">'APP-E4 1to1&amp;2to1MixCompAnal'!$F$13</definedName>
    <definedName name="solver_lhs2" localSheetId="2" hidden="1">'APP-E3 1to2 CompAnal'!$I$9</definedName>
    <definedName name="solver_lhs2" localSheetId="3" hidden="1">'APP-E4 1to1&amp;2to1MixCompAnal'!$F$13</definedName>
    <definedName name="solver_lin" localSheetId="0" hidden="1">2</definedName>
    <definedName name="solver_lin" localSheetId="2" hidden="1">2</definedName>
    <definedName name="solver_lin" localSheetId="3" hidden="1">2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0" hidden="1">2</definedName>
    <definedName name="solver_neg" localSheetId="2" hidden="1">2</definedName>
    <definedName name="solver_neg" localSheetId="3" hidden="1">2</definedName>
    <definedName name="solver_nod" localSheetId="3" hidden="1">2147483647</definedName>
    <definedName name="solver_num" localSheetId="0" hidden="1">0</definedName>
    <definedName name="solver_num" localSheetId="2" hidden="1">0</definedName>
    <definedName name="solver_num" localSheetId="3" hidden="1">0</definedName>
    <definedName name="solver_nwt" localSheetId="0" hidden="1">1</definedName>
    <definedName name="solver_nwt" localSheetId="2" hidden="1">1</definedName>
    <definedName name="solver_nwt" localSheetId="3" hidden="1">1</definedName>
    <definedName name="solver_opt" localSheetId="0" hidden="1">'APP-E1-1Job''s plot'!$E$34</definedName>
    <definedName name="solver_opt" localSheetId="2" hidden="1">'APP-E3 1to2 CompAnal'!$K$11</definedName>
    <definedName name="solver_opt" localSheetId="3" hidden="1">'APP-E4 1to1&amp;2to1MixCompAnal'!$K$13</definedName>
    <definedName name="solver_pre" localSheetId="0" hidden="1">0.000001</definedName>
    <definedName name="solver_pre" localSheetId="2" hidden="1">0.000000001</definedName>
    <definedName name="solver_pre" localSheetId="3" hidden="1">0.0000001</definedName>
    <definedName name="solver_rbv" localSheetId="3" hidden="1">1</definedName>
    <definedName name="solver_rel1" localSheetId="2" hidden="1">3</definedName>
    <definedName name="solver_rel1" localSheetId="3" hidden="1">1</definedName>
    <definedName name="solver_rel2" localSheetId="2" hidden="1">1</definedName>
    <definedName name="solver_rel2" localSheetId="3" hidden="1">1</definedName>
    <definedName name="solver_rhs1" localSheetId="2" hidden="1">0.6</definedName>
    <definedName name="solver_rhs1" localSheetId="3" hidden="1">1</definedName>
    <definedName name="solver_rhs2" localSheetId="2" hidden="1">1</definedName>
    <definedName name="solver_rhs2" localSheetId="3" hidden="1">1</definedName>
    <definedName name="solver_rlx" localSheetId="3" hidden="1">1</definedName>
    <definedName name="solver_rsd" localSheetId="3" hidden="1">0</definedName>
    <definedName name="solver_scl" localSheetId="0" hidden="1">2</definedName>
    <definedName name="solver_scl" localSheetId="2" hidden="1">2</definedName>
    <definedName name="solver_scl" localSheetId="3" hidden="1">2</definedName>
    <definedName name="solver_sho" localSheetId="0" hidden="1">2</definedName>
    <definedName name="solver_sho" localSheetId="2" hidden="1">2</definedName>
    <definedName name="solver_sho" localSheetId="3" hidden="1">2</definedName>
    <definedName name="solver_ssz" localSheetId="3" hidden="1">100</definedName>
    <definedName name="solver_tim" localSheetId="0" hidden="1">100</definedName>
    <definedName name="solver_tim" localSheetId="2" hidden="1">100</definedName>
    <definedName name="solver_tim" localSheetId="3" hidden="1">100</definedName>
    <definedName name="solver_tol" localSheetId="0" hidden="1">0.05</definedName>
    <definedName name="solver_tol" localSheetId="2" hidden="1">0.05</definedName>
    <definedName name="solver_tol" localSheetId="3" hidden="1">0.05</definedName>
    <definedName name="solver_typ" localSheetId="0" hidden="1">2</definedName>
    <definedName name="solver_typ" localSheetId="2" hidden="1">2</definedName>
    <definedName name="solver_typ" localSheetId="3" hidden="1">2</definedName>
    <definedName name="solver_val" localSheetId="0" hidden="1">0</definedName>
    <definedName name="solver_val" localSheetId="2" hidden="1">0</definedName>
    <definedName name="solver_val" localSheetId="3" hidden="1">0</definedName>
    <definedName name="solver_ver" localSheetId="3" hidden="1">2</definedName>
    <definedName name="X3X1" localSheetId="3">#REF!</definedName>
    <definedName name="X3X1">#REF!</definedName>
    <definedName name="X3X2" localSheetId="3">#REF!</definedName>
    <definedName name="X3X2">#REF!</definedName>
    <definedName name="X3X3" localSheetId="3">#REF!</definedName>
    <definedName name="X3X3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5" l="1"/>
  <c r="O21" i="5"/>
  <c r="F14" i="5"/>
  <c r="O20" i="5"/>
  <c r="O24" i="5"/>
  <c r="O46" i="5"/>
  <c r="O23" i="5"/>
  <c r="O45" i="5"/>
  <c r="O48" i="5"/>
  <c r="O25" i="5"/>
  <c r="O47" i="5"/>
  <c r="O49" i="5"/>
  <c r="O50" i="5"/>
  <c r="O53" i="5"/>
  <c r="O54" i="5"/>
  <c r="O57" i="5"/>
  <c r="N21" i="5"/>
  <c r="N20" i="5"/>
  <c r="N24" i="5"/>
  <c r="N46" i="5"/>
  <c r="N23" i="5"/>
  <c r="N45" i="5"/>
  <c r="N48" i="5"/>
  <c r="N25" i="5"/>
  <c r="N47" i="5"/>
  <c r="N49" i="5"/>
  <c r="N50" i="5"/>
  <c r="N53" i="5"/>
  <c r="N54" i="5"/>
  <c r="N57" i="5"/>
  <c r="M21" i="5"/>
  <c r="M20" i="5"/>
  <c r="M24" i="5"/>
  <c r="M46" i="5"/>
  <c r="M23" i="5"/>
  <c r="M45" i="5"/>
  <c r="M48" i="5"/>
  <c r="M25" i="5"/>
  <c r="M47" i="5"/>
  <c r="M49" i="5"/>
  <c r="M50" i="5"/>
  <c r="M53" i="5"/>
  <c r="M54" i="5"/>
  <c r="M57" i="5"/>
  <c r="L21" i="5"/>
  <c r="L20" i="5"/>
  <c r="L24" i="5"/>
  <c r="L46" i="5"/>
  <c r="L23" i="5"/>
  <c r="L45" i="5"/>
  <c r="L48" i="5"/>
  <c r="L25" i="5"/>
  <c r="L47" i="5"/>
  <c r="L49" i="5"/>
  <c r="L50" i="5"/>
  <c r="L57" i="5"/>
  <c r="K21" i="5"/>
  <c r="K20" i="5"/>
  <c r="K24" i="5"/>
  <c r="K46" i="5"/>
  <c r="K23" i="5"/>
  <c r="K45" i="5"/>
  <c r="K48" i="5"/>
  <c r="K25" i="5"/>
  <c r="K47" i="5"/>
  <c r="K49" i="5"/>
  <c r="K50" i="5"/>
  <c r="K57" i="5"/>
  <c r="J21" i="5"/>
  <c r="J20" i="5"/>
  <c r="J24" i="5"/>
  <c r="J46" i="5"/>
  <c r="J23" i="5"/>
  <c r="J45" i="5"/>
  <c r="J48" i="5"/>
  <c r="J25" i="5"/>
  <c r="J47" i="5"/>
  <c r="J49" i="5"/>
  <c r="J50" i="5"/>
  <c r="J57" i="5"/>
  <c r="I21" i="5"/>
  <c r="I20" i="5"/>
  <c r="I24" i="5"/>
  <c r="I46" i="5"/>
  <c r="I23" i="5"/>
  <c r="I45" i="5"/>
  <c r="I48" i="5"/>
  <c r="I25" i="5"/>
  <c r="I47" i="5"/>
  <c r="I49" i="5"/>
  <c r="I50" i="5"/>
  <c r="I57" i="5"/>
  <c r="H21" i="5"/>
  <c r="H20" i="5"/>
  <c r="H24" i="5"/>
  <c r="H46" i="5"/>
  <c r="H23" i="5"/>
  <c r="H45" i="5"/>
  <c r="H48" i="5"/>
  <c r="H25" i="5"/>
  <c r="H47" i="5"/>
  <c r="H49" i="5"/>
  <c r="H50" i="5"/>
  <c r="H57" i="5"/>
  <c r="G21" i="5"/>
  <c r="G20" i="5"/>
  <c r="G24" i="5"/>
  <c r="G46" i="5"/>
  <c r="G23" i="5"/>
  <c r="G45" i="5"/>
  <c r="G48" i="5"/>
  <c r="G25" i="5"/>
  <c r="G47" i="5"/>
  <c r="G49" i="5"/>
  <c r="G50" i="5"/>
  <c r="G57" i="5"/>
  <c r="F21" i="5"/>
  <c r="F20" i="5"/>
  <c r="F24" i="5"/>
  <c r="F46" i="5"/>
  <c r="F23" i="5"/>
  <c r="F45" i="5"/>
  <c r="F48" i="5"/>
  <c r="F25" i="5"/>
  <c r="F47" i="5"/>
  <c r="F49" i="5"/>
  <c r="F50" i="5"/>
  <c r="F57" i="5"/>
  <c r="E21" i="5"/>
  <c r="E20" i="5"/>
  <c r="E24" i="5"/>
  <c r="E46" i="5"/>
  <c r="E23" i="5"/>
  <c r="E45" i="5"/>
  <c r="E48" i="5"/>
  <c r="E25" i="5"/>
  <c r="E47" i="5"/>
  <c r="E49" i="5"/>
  <c r="E50" i="5"/>
  <c r="E57" i="5"/>
  <c r="D21" i="5"/>
  <c r="D20" i="5"/>
  <c r="D24" i="5"/>
  <c r="D46" i="5"/>
  <c r="D23" i="5"/>
  <c r="D45" i="5"/>
  <c r="D48" i="5"/>
  <c r="D25" i="5"/>
  <c r="D47" i="5"/>
  <c r="D49" i="5"/>
  <c r="D50" i="5"/>
  <c r="D57" i="5"/>
  <c r="O56" i="5"/>
  <c r="N56" i="5"/>
  <c r="M56" i="5"/>
  <c r="L56" i="5"/>
  <c r="K56" i="5"/>
  <c r="J56" i="5"/>
  <c r="I56" i="5"/>
  <c r="H56" i="5"/>
  <c r="G56" i="5"/>
  <c r="F56" i="5"/>
  <c r="E56" i="5"/>
  <c r="D56" i="5"/>
  <c r="O55" i="5"/>
  <c r="N55" i="5"/>
  <c r="M55" i="5"/>
  <c r="L51" i="5"/>
  <c r="L52" i="5"/>
  <c r="L55" i="5"/>
  <c r="K51" i="5"/>
  <c r="K52" i="5"/>
  <c r="K55" i="5"/>
  <c r="J51" i="5"/>
  <c r="J52" i="5"/>
  <c r="J55" i="5"/>
  <c r="I51" i="5"/>
  <c r="I52" i="5"/>
  <c r="I55" i="5"/>
  <c r="H51" i="5"/>
  <c r="H52" i="5"/>
  <c r="H55" i="5"/>
  <c r="G51" i="5"/>
  <c r="G52" i="5"/>
  <c r="G55" i="5"/>
  <c r="F51" i="5"/>
  <c r="F52" i="5"/>
  <c r="F55" i="5"/>
  <c r="E51" i="5"/>
  <c r="E52" i="5"/>
  <c r="E55" i="5"/>
  <c r="D51" i="5"/>
  <c r="D52" i="5"/>
  <c r="D55" i="5"/>
  <c r="L53" i="5"/>
  <c r="L54" i="5"/>
  <c r="K53" i="5"/>
  <c r="K54" i="5"/>
  <c r="J53" i="5"/>
  <c r="J54" i="5"/>
  <c r="I53" i="5"/>
  <c r="I54" i="5"/>
  <c r="H53" i="5"/>
  <c r="H54" i="5"/>
  <c r="G53" i="5"/>
  <c r="G54" i="5"/>
  <c r="F53" i="5"/>
  <c r="F54" i="5"/>
  <c r="E53" i="5"/>
  <c r="E54" i="5"/>
  <c r="D53" i="5"/>
  <c r="D54" i="5"/>
  <c r="O52" i="5"/>
  <c r="N52" i="5"/>
  <c r="M52" i="5"/>
  <c r="O51" i="5"/>
  <c r="N51" i="5"/>
  <c r="M51" i="5"/>
  <c r="O26" i="5"/>
  <c r="O27" i="5"/>
  <c r="O28" i="5"/>
  <c r="O42" i="5"/>
  <c r="N26" i="5"/>
  <c r="N27" i="5"/>
  <c r="N28" i="5"/>
  <c r="N42" i="5"/>
  <c r="M26" i="5"/>
  <c r="M27" i="5"/>
  <c r="M28" i="5"/>
  <c r="M42" i="5"/>
  <c r="L26" i="5"/>
  <c r="L27" i="5"/>
  <c r="L28" i="5"/>
  <c r="L42" i="5"/>
  <c r="K26" i="5"/>
  <c r="K27" i="5"/>
  <c r="K28" i="5"/>
  <c r="K42" i="5"/>
  <c r="J26" i="5"/>
  <c r="J27" i="5"/>
  <c r="J28" i="5"/>
  <c r="J42" i="5"/>
  <c r="I26" i="5"/>
  <c r="I27" i="5"/>
  <c r="I28" i="5"/>
  <c r="I42" i="5"/>
  <c r="H26" i="5"/>
  <c r="H27" i="5"/>
  <c r="H28" i="5"/>
  <c r="H42" i="5"/>
  <c r="G26" i="5"/>
  <c r="G27" i="5"/>
  <c r="G28" i="5"/>
  <c r="G42" i="5"/>
  <c r="F26" i="5"/>
  <c r="F27" i="5"/>
  <c r="F28" i="5"/>
  <c r="F42" i="5"/>
  <c r="E26" i="5"/>
  <c r="E27" i="5"/>
  <c r="E28" i="5"/>
  <c r="E42" i="5"/>
  <c r="D26" i="5"/>
  <c r="D27" i="5"/>
  <c r="D28" i="5"/>
  <c r="D42" i="5"/>
  <c r="O41" i="5"/>
  <c r="N41" i="5"/>
  <c r="M41" i="5"/>
  <c r="L41" i="5"/>
  <c r="K41" i="5"/>
  <c r="J41" i="5"/>
  <c r="I41" i="5"/>
  <c r="H41" i="5"/>
  <c r="G41" i="5"/>
  <c r="F41" i="5"/>
  <c r="E41" i="5"/>
  <c r="D41" i="5"/>
  <c r="O40" i="5"/>
  <c r="N40" i="5"/>
  <c r="M40" i="5"/>
  <c r="L40" i="5"/>
  <c r="K40" i="5"/>
  <c r="J40" i="5"/>
  <c r="I40" i="5"/>
  <c r="H40" i="5"/>
  <c r="G40" i="5"/>
  <c r="F40" i="5"/>
  <c r="E40" i="5"/>
  <c r="D40" i="5"/>
  <c r="O39" i="5"/>
  <c r="N39" i="5"/>
  <c r="M39" i="5"/>
  <c r="L39" i="5"/>
  <c r="K39" i="5"/>
  <c r="J39" i="5"/>
  <c r="I39" i="5"/>
  <c r="H39" i="5"/>
  <c r="G39" i="5"/>
  <c r="F39" i="5"/>
  <c r="E39" i="5"/>
  <c r="D39" i="5"/>
  <c r="O38" i="5"/>
  <c r="N38" i="5"/>
  <c r="M38" i="5"/>
  <c r="L38" i="5"/>
  <c r="K38" i="5"/>
  <c r="J38" i="5"/>
  <c r="I38" i="5"/>
  <c r="H38" i="5"/>
  <c r="G38" i="5"/>
  <c r="F38" i="5"/>
  <c r="E38" i="5"/>
  <c r="D38" i="5"/>
  <c r="O37" i="5"/>
  <c r="N37" i="5"/>
  <c r="M37" i="5"/>
  <c r="L37" i="5"/>
  <c r="K37" i="5"/>
  <c r="J37" i="5"/>
  <c r="I37" i="5"/>
  <c r="H37" i="5"/>
  <c r="G37" i="5"/>
  <c r="F37" i="5"/>
  <c r="E37" i="5"/>
  <c r="D37" i="5"/>
  <c r="O31" i="5"/>
  <c r="O36" i="5"/>
  <c r="N31" i="5"/>
  <c r="N36" i="5"/>
  <c r="M31" i="5"/>
  <c r="M36" i="5"/>
  <c r="L31" i="5"/>
  <c r="L36" i="5"/>
  <c r="K31" i="5"/>
  <c r="K36" i="5"/>
  <c r="J31" i="5"/>
  <c r="J36" i="5"/>
  <c r="I31" i="5"/>
  <c r="I36" i="5"/>
  <c r="H31" i="5"/>
  <c r="H36" i="5"/>
  <c r="G31" i="5"/>
  <c r="G36" i="5"/>
  <c r="F31" i="5"/>
  <c r="F36" i="5"/>
  <c r="E31" i="5"/>
  <c r="E36" i="5"/>
  <c r="D31" i="5"/>
  <c r="D36" i="5"/>
  <c r="K14" i="5"/>
  <c r="K15" i="5"/>
  <c r="O30" i="5"/>
  <c r="O35" i="5"/>
  <c r="N30" i="5"/>
  <c r="N35" i="5"/>
  <c r="M30" i="5"/>
  <c r="M35" i="5"/>
  <c r="L30" i="5"/>
  <c r="L35" i="5"/>
  <c r="K30" i="5"/>
  <c r="K35" i="5"/>
  <c r="J30" i="5"/>
  <c r="J35" i="5"/>
  <c r="I30" i="5"/>
  <c r="I35" i="5"/>
  <c r="H30" i="5"/>
  <c r="H35" i="5"/>
  <c r="G30" i="5"/>
  <c r="G35" i="5"/>
  <c r="F30" i="5"/>
  <c r="F35" i="5"/>
  <c r="E30" i="5"/>
  <c r="E35" i="5"/>
  <c r="D30" i="5"/>
  <c r="D35" i="5"/>
  <c r="O22" i="5"/>
  <c r="O34" i="5"/>
  <c r="N22" i="5"/>
  <c r="N34" i="5"/>
  <c r="M22" i="5"/>
  <c r="M34" i="5"/>
  <c r="L22" i="5"/>
  <c r="L34" i="5"/>
  <c r="K22" i="5"/>
  <c r="K34" i="5"/>
  <c r="J22" i="5"/>
  <c r="J34" i="5"/>
  <c r="I22" i="5"/>
  <c r="I34" i="5"/>
  <c r="H22" i="5"/>
  <c r="H34" i="5"/>
  <c r="G22" i="5"/>
  <c r="G34" i="5"/>
  <c r="F22" i="5"/>
  <c r="F34" i="5"/>
  <c r="E22" i="5"/>
  <c r="E34" i="5"/>
  <c r="D22" i="5"/>
  <c r="D34" i="5"/>
  <c r="D32" i="5"/>
  <c r="D33" i="5"/>
  <c r="E32" i="5"/>
  <c r="E33" i="5"/>
  <c r="F32" i="5"/>
  <c r="F33" i="5"/>
  <c r="G32" i="5"/>
  <c r="G33" i="5"/>
  <c r="H32" i="5"/>
  <c r="H33" i="5"/>
  <c r="I32" i="5"/>
  <c r="I33" i="5"/>
  <c r="J32" i="5"/>
  <c r="J33" i="5"/>
  <c r="K32" i="5"/>
  <c r="K33" i="5"/>
  <c r="L32" i="5"/>
  <c r="L33" i="5"/>
  <c r="M32" i="5"/>
  <c r="M33" i="5"/>
  <c r="N32" i="5"/>
  <c r="N33" i="5"/>
  <c r="O32" i="5"/>
  <c r="O33" i="5"/>
  <c r="P33" i="5"/>
  <c r="O29" i="5"/>
  <c r="N29" i="5"/>
  <c r="M29" i="5"/>
  <c r="L29" i="5"/>
  <c r="K29" i="5"/>
  <c r="J29" i="5"/>
  <c r="I29" i="5"/>
  <c r="H29" i="5"/>
  <c r="G29" i="5"/>
  <c r="F29" i="5"/>
  <c r="E29" i="5"/>
  <c r="D29" i="5"/>
  <c r="K13" i="5"/>
  <c r="R22" i="4"/>
  <c r="R46" i="4"/>
  <c r="F14" i="4"/>
  <c r="R19" i="4"/>
  <c r="G14" i="4"/>
  <c r="R20" i="4"/>
  <c r="R23" i="4"/>
  <c r="R45" i="4"/>
  <c r="R48" i="4"/>
  <c r="R25" i="4"/>
  <c r="R47" i="4"/>
  <c r="R49" i="4"/>
  <c r="R50" i="4"/>
  <c r="R57" i="4"/>
  <c r="Q22" i="4"/>
  <c r="Q46" i="4"/>
  <c r="Q19" i="4"/>
  <c r="Q20" i="4"/>
  <c r="Q23" i="4"/>
  <c r="Q45" i="4"/>
  <c r="Q48" i="4"/>
  <c r="Q25" i="4"/>
  <c r="Q47" i="4"/>
  <c r="Q49" i="4"/>
  <c r="Q50" i="4"/>
  <c r="Q57" i="4"/>
  <c r="P22" i="4"/>
  <c r="P46" i="4"/>
  <c r="P19" i="4"/>
  <c r="P20" i="4"/>
  <c r="P23" i="4"/>
  <c r="P45" i="4"/>
  <c r="P48" i="4"/>
  <c r="P25" i="4"/>
  <c r="P47" i="4"/>
  <c r="P49" i="4"/>
  <c r="P50" i="4"/>
  <c r="P57" i="4"/>
  <c r="O22" i="4"/>
  <c r="O46" i="4"/>
  <c r="O19" i="4"/>
  <c r="O20" i="4"/>
  <c r="O23" i="4"/>
  <c r="O45" i="4"/>
  <c r="O48" i="4"/>
  <c r="O25" i="4"/>
  <c r="O47" i="4"/>
  <c r="O49" i="4"/>
  <c r="O50" i="4"/>
  <c r="O57" i="4"/>
  <c r="N22" i="4"/>
  <c r="N46" i="4"/>
  <c r="N19" i="4"/>
  <c r="N20" i="4"/>
  <c r="N23" i="4"/>
  <c r="N45" i="4"/>
  <c r="N48" i="4"/>
  <c r="N25" i="4"/>
  <c r="N47" i="4"/>
  <c r="N49" i="4"/>
  <c r="N50" i="4"/>
  <c r="N57" i="4"/>
  <c r="M22" i="4"/>
  <c r="M46" i="4"/>
  <c r="M19" i="4"/>
  <c r="M20" i="4"/>
  <c r="M23" i="4"/>
  <c r="M45" i="4"/>
  <c r="M48" i="4"/>
  <c r="M25" i="4"/>
  <c r="M47" i="4"/>
  <c r="M49" i="4"/>
  <c r="M50" i="4"/>
  <c r="M57" i="4"/>
  <c r="L22" i="4"/>
  <c r="L46" i="4"/>
  <c r="L19" i="4"/>
  <c r="L20" i="4"/>
  <c r="L23" i="4"/>
  <c r="L45" i="4"/>
  <c r="L48" i="4"/>
  <c r="L25" i="4"/>
  <c r="L47" i="4"/>
  <c r="L49" i="4"/>
  <c r="L50" i="4"/>
  <c r="L57" i="4"/>
  <c r="K22" i="4"/>
  <c r="K46" i="4"/>
  <c r="K19" i="4"/>
  <c r="K20" i="4"/>
  <c r="K23" i="4"/>
  <c r="K45" i="4"/>
  <c r="K48" i="4"/>
  <c r="K25" i="4"/>
  <c r="K47" i="4"/>
  <c r="K49" i="4"/>
  <c r="K50" i="4"/>
  <c r="K57" i="4"/>
  <c r="J22" i="4"/>
  <c r="J46" i="4"/>
  <c r="J19" i="4"/>
  <c r="J20" i="4"/>
  <c r="J23" i="4"/>
  <c r="J45" i="4"/>
  <c r="J48" i="4"/>
  <c r="J25" i="4"/>
  <c r="J47" i="4"/>
  <c r="J49" i="4"/>
  <c r="J50" i="4"/>
  <c r="J57" i="4"/>
  <c r="I22" i="4"/>
  <c r="I46" i="4"/>
  <c r="I19" i="4"/>
  <c r="I20" i="4"/>
  <c r="I23" i="4"/>
  <c r="I45" i="4"/>
  <c r="I48" i="4"/>
  <c r="I25" i="4"/>
  <c r="I47" i="4"/>
  <c r="I49" i="4"/>
  <c r="I50" i="4"/>
  <c r="I57" i="4"/>
  <c r="H22" i="4"/>
  <c r="H46" i="4"/>
  <c r="H19" i="4"/>
  <c r="H20" i="4"/>
  <c r="H23" i="4"/>
  <c r="H45" i="4"/>
  <c r="H48" i="4"/>
  <c r="H25" i="4"/>
  <c r="H47" i="4"/>
  <c r="H49" i="4"/>
  <c r="H50" i="4"/>
  <c r="H57" i="4"/>
  <c r="G22" i="4"/>
  <c r="G46" i="4"/>
  <c r="G19" i="4"/>
  <c r="G20" i="4"/>
  <c r="G23" i="4"/>
  <c r="G45" i="4"/>
  <c r="G48" i="4"/>
  <c r="G25" i="4"/>
  <c r="G47" i="4"/>
  <c r="G49" i="4"/>
  <c r="G50" i="4"/>
  <c r="G57" i="4"/>
  <c r="F22" i="4"/>
  <c r="F46" i="4"/>
  <c r="F19" i="4"/>
  <c r="F20" i="4"/>
  <c r="F23" i="4"/>
  <c r="F45" i="4"/>
  <c r="F48" i="4"/>
  <c r="F25" i="4"/>
  <c r="F47" i="4"/>
  <c r="F49" i="4"/>
  <c r="F50" i="4"/>
  <c r="F57" i="4"/>
  <c r="E22" i="4"/>
  <c r="E46" i="4"/>
  <c r="E19" i="4"/>
  <c r="E20" i="4"/>
  <c r="E23" i="4"/>
  <c r="E45" i="4"/>
  <c r="E48" i="4"/>
  <c r="E25" i="4"/>
  <c r="E47" i="4"/>
  <c r="E49" i="4"/>
  <c r="E50" i="4"/>
  <c r="E53" i="4"/>
  <c r="E54" i="4"/>
  <c r="E57" i="4"/>
  <c r="D22" i="4"/>
  <c r="D46" i="4"/>
  <c r="D19" i="4"/>
  <c r="D20" i="4"/>
  <c r="D23" i="4"/>
  <c r="D45" i="4"/>
  <c r="D48" i="4"/>
  <c r="D25" i="4"/>
  <c r="D47" i="4"/>
  <c r="D49" i="4"/>
  <c r="D50" i="4"/>
  <c r="D53" i="4"/>
  <c r="D54" i="4"/>
  <c r="D57" i="4"/>
  <c r="C22" i="4"/>
  <c r="C46" i="4"/>
  <c r="C19" i="4"/>
  <c r="C20" i="4"/>
  <c r="C23" i="4"/>
  <c r="C45" i="4"/>
  <c r="C48" i="4"/>
  <c r="C25" i="4"/>
  <c r="C47" i="4"/>
  <c r="C49" i="4"/>
  <c r="C50" i="4"/>
  <c r="C53" i="4"/>
  <c r="C54" i="4"/>
  <c r="C57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R51" i="4"/>
  <c r="R52" i="4"/>
  <c r="R55" i="4"/>
  <c r="Q51" i="4"/>
  <c r="Q52" i="4"/>
  <c r="Q55" i="4"/>
  <c r="P51" i="4"/>
  <c r="P52" i="4"/>
  <c r="P55" i="4"/>
  <c r="O51" i="4"/>
  <c r="O52" i="4"/>
  <c r="O55" i="4"/>
  <c r="N51" i="4"/>
  <c r="N52" i="4"/>
  <c r="N55" i="4"/>
  <c r="M51" i="4"/>
  <c r="M52" i="4"/>
  <c r="M55" i="4"/>
  <c r="L51" i="4"/>
  <c r="L52" i="4"/>
  <c r="L55" i="4"/>
  <c r="K51" i="4"/>
  <c r="K52" i="4"/>
  <c r="K55" i="4"/>
  <c r="J51" i="4"/>
  <c r="J52" i="4"/>
  <c r="J55" i="4"/>
  <c r="I51" i="4"/>
  <c r="I52" i="4"/>
  <c r="I55" i="4"/>
  <c r="H51" i="4"/>
  <c r="H52" i="4"/>
  <c r="H55" i="4"/>
  <c r="G51" i="4"/>
  <c r="G52" i="4"/>
  <c r="G55" i="4"/>
  <c r="F51" i="4"/>
  <c r="F52" i="4"/>
  <c r="F55" i="4"/>
  <c r="E55" i="4"/>
  <c r="D55" i="4"/>
  <c r="C55" i="4"/>
  <c r="R53" i="4"/>
  <c r="R54" i="4"/>
  <c r="Q53" i="4"/>
  <c r="Q54" i="4"/>
  <c r="P53" i="4"/>
  <c r="P54" i="4"/>
  <c r="O53" i="4"/>
  <c r="O54" i="4"/>
  <c r="N53" i="4"/>
  <c r="N54" i="4"/>
  <c r="M53" i="4"/>
  <c r="M54" i="4"/>
  <c r="L53" i="4"/>
  <c r="L54" i="4"/>
  <c r="K53" i="4"/>
  <c r="K54" i="4"/>
  <c r="J53" i="4"/>
  <c r="J54" i="4"/>
  <c r="I53" i="4"/>
  <c r="I54" i="4"/>
  <c r="H53" i="4"/>
  <c r="H54" i="4"/>
  <c r="G53" i="4"/>
  <c r="G54" i="4"/>
  <c r="F53" i="4"/>
  <c r="F54" i="4"/>
  <c r="E52" i="4"/>
  <c r="D52" i="4"/>
  <c r="C52" i="4"/>
  <c r="E51" i="4"/>
  <c r="D51" i="4"/>
  <c r="C51" i="4"/>
  <c r="R26" i="4"/>
  <c r="R30" i="4"/>
  <c r="R29" i="4"/>
  <c r="R42" i="4"/>
  <c r="Q26" i="4"/>
  <c r="Q30" i="4"/>
  <c r="Q29" i="4"/>
  <c r="Q42" i="4"/>
  <c r="P26" i="4"/>
  <c r="P30" i="4"/>
  <c r="P29" i="4"/>
  <c r="P42" i="4"/>
  <c r="O26" i="4"/>
  <c r="O30" i="4"/>
  <c r="O29" i="4"/>
  <c r="O42" i="4"/>
  <c r="N26" i="4"/>
  <c r="N30" i="4"/>
  <c r="N29" i="4"/>
  <c r="N42" i="4"/>
  <c r="M26" i="4"/>
  <c r="M30" i="4"/>
  <c r="M29" i="4"/>
  <c r="M42" i="4"/>
  <c r="L26" i="4"/>
  <c r="L30" i="4"/>
  <c r="L29" i="4"/>
  <c r="L42" i="4"/>
  <c r="K26" i="4"/>
  <c r="K30" i="4"/>
  <c r="K29" i="4"/>
  <c r="K42" i="4"/>
  <c r="J26" i="4"/>
  <c r="J30" i="4"/>
  <c r="J29" i="4"/>
  <c r="J42" i="4"/>
  <c r="I26" i="4"/>
  <c r="I30" i="4"/>
  <c r="I29" i="4"/>
  <c r="I42" i="4"/>
  <c r="H26" i="4"/>
  <c r="H30" i="4"/>
  <c r="H29" i="4"/>
  <c r="H42" i="4"/>
  <c r="G26" i="4"/>
  <c r="G30" i="4"/>
  <c r="G29" i="4"/>
  <c r="G42" i="4"/>
  <c r="F26" i="4"/>
  <c r="F30" i="4"/>
  <c r="F29" i="4"/>
  <c r="F42" i="4"/>
  <c r="E26" i="4"/>
  <c r="E30" i="4"/>
  <c r="E29" i="4"/>
  <c r="E42" i="4"/>
  <c r="D26" i="4"/>
  <c r="D30" i="4"/>
  <c r="D29" i="4"/>
  <c r="D42" i="4"/>
  <c r="C26" i="4"/>
  <c r="C30" i="4"/>
  <c r="C29" i="4"/>
  <c r="C42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U38" i="4"/>
  <c r="R32" i="4"/>
  <c r="R38" i="4"/>
  <c r="Q32" i="4"/>
  <c r="Q38" i="4"/>
  <c r="P32" i="4"/>
  <c r="P38" i="4"/>
  <c r="O32" i="4"/>
  <c r="O38" i="4"/>
  <c r="N32" i="4"/>
  <c r="N38" i="4"/>
  <c r="M32" i="4"/>
  <c r="M38" i="4"/>
  <c r="L32" i="4"/>
  <c r="L38" i="4"/>
  <c r="K32" i="4"/>
  <c r="K38" i="4"/>
  <c r="J32" i="4"/>
  <c r="J38" i="4"/>
  <c r="I32" i="4"/>
  <c r="I38" i="4"/>
  <c r="H32" i="4"/>
  <c r="H38" i="4"/>
  <c r="G32" i="4"/>
  <c r="G38" i="4"/>
  <c r="F32" i="4"/>
  <c r="F38" i="4"/>
  <c r="E32" i="4"/>
  <c r="E38" i="4"/>
  <c r="D32" i="4"/>
  <c r="D38" i="4"/>
  <c r="C32" i="4"/>
  <c r="C38" i="4"/>
  <c r="U37" i="4"/>
  <c r="R31" i="4"/>
  <c r="R37" i="4"/>
  <c r="Q31" i="4"/>
  <c r="Q37" i="4"/>
  <c r="P31" i="4"/>
  <c r="P37" i="4"/>
  <c r="O31" i="4"/>
  <c r="O37" i="4"/>
  <c r="N31" i="4"/>
  <c r="N37" i="4"/>
  <c r="M31" i="4"/>
  <c r="M37" i="4"/>
  <c r="L31" i="4"/>
  <c r="L37" i="4"/>
  <c r="K31" i="4"/>
  <c r="K37" i="4"/>
  <c r="J31" i="4"/>
  <c r="J37" i="4"/>
  <c r="I31" i="4"/>
  <c r="I37" i="4"/>
  <c r="H31" i="4"/>
  <c r="H37" i="4"/>
  <c r="G31" i="4"/>
  <c r="G37" i="4"/>
  <c r="F31" i="4"/>
  <c r="F37" i="4"/>
  <c r="E31" i="4"/>
  <c r="E37" i="4"/>
  <c r="D31" i="4"/>
  <c r="D37" i="4"/>
  <c r="C31" i="4"/>
  <c r="C37" i="4"/>
  <c r="U36" i="4"/>
  <c r="R21" i="4"/>
  <c r="R36" i="4"/>
  <c r="Q21" i="4"/>
  <c r="Q36" i="4"/>
  <c r="P21" i="4"/>
  <c r="P36" i="4"/>
  <c r="O21" i="4"/>
  <c r="O36" i="4"/>
  <c r="N21" i="4"/>
  <c r="N36" i="4"/>
  <c r="M21" i="4"/>
  <c r="M36" i="4"/>
  <c r="L21" i="4"/>
  <c r="L36" i="4"/>
  <c r="K21" i="4"/>
  <c r="K36" i="4"/>
  <c r="J21" i="4"/>
  <c r="J36" i="4"/>
  <c r="I21" i="4"/>
  <c r="I36" i="4"/>
  <c r="H21" i="4"/>
  <c r="H36" i="4"/>
  <c r="G21" i="4"/>
  <c r="G36" i="4"/>
  <c r="F21" i="4"/>
  <c r="F36" i="4"/>
  <c r="E21" i="4"/>
  <c r="E36" i="4"/>
  <c r="D21" i="4"/>
  <c r="D36" i="4"/>
  <c r="C21" i="4"/>
  <c r="C36" i="4"/>
  <c r="C34" i="4"/>
  <c r="C35" i="4"/>
  <c r="D34" i="4"/>
  <c r="D35" i="4"/>
  <c r="E34" i="4"/>
  <c r="E35" i="4"/>
  <c r="F34" i="4"/>
  <c r="F35" i="4"/>
  <c r="G34" i="4"/>
  <c r="G35" i="4"/>
  <c r="H34" i="4"/>
  <c r="H35" i="4"/>
  <c r="I34" i="4"/>
  <c r="I35" i="4"/>
  <c r="J34" i="4"/>
  <c r="J35" i="4"/>
  <c r="K34" i="4"/>
  <c r="K35" i="4"/>
  <c r="L34" i="4"/>
  <c r="L35" i="4"/>
  <c r="M34" i="4"/>
  <c r="M35" i="4"/>
  <c r="N34" i="4"/>
  <c r="N35" i="4"/>
  <c r="O34" i="4"/>
  <c r="O35" i="4"/>
  <c r="P34" i="4"/>
  <c r="P35" i="4"/>
  <c r="Q34" i="4"/>
  <c r="Q35" i="4"/>
  <c r="R34" i="4"/>
  <c r="R35" i="4"/>
  <c r="S35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F13" i="4"/>
  <c r="K12" i="4"/>
  <c r="K11" i="4"/>
  <c r="I55" i="3"/>
  <c r="C20" i="3"/>
  <c r="C21" i="3"/>
  <c r="G12" i="3"/>
  <c r="H12" i="3"/>
  <c r="I12" i="3"/>
  <c r="D20" i="3"/>
  <c r="G13" i="3"/>
  <c r="H13" i="3"/>
  <c r="I13" i="3"/>
  <c r="D21" i="3"/>
  <c r="B20" i="3"/>
  <c r="B21" i="3"/>
  <c r="G20" i="3"/>
  <c r="H20" i="3"/>
  <c r="I20" i="3"/>
  <c r="J20" i="3"/>
  <c r="H42" i="3"/>
  <c r="I42" i="3"/>
  <c r="C22" i="3"/>
  <c r="G14" i="3"/>
  <c r="H14" i="3"/>
  <c r="I14" i="3"/>
  <c r="D22" i="3"/>
  <c r="B22" i="3"/>
  <c r="G21" i="3"/>
  <c r="H21" i="3"/>
  <c r="I21" i="3"/>
  <c r="J21" i="3"/>
  <c r="H43" i="3"/>
  <c r="I43" i="3"/>
  <c r="C23" i="3"/>
  <c r="G15" i="3"/>
  <c r="H15" i="3"/>
  <c r="I15" i="3"/>
  <c r="D23" i="3"/>
  <c r="B23" i="3"/>
  <c r="G22" i="3"/>
  <c r="H22" i="3"/>
  <c r="I22" i="3"/>
  <c r="J22" i="3"/>
  <c r="H44" i="3"/>
  <c r="I44" i="3"/>
  <c r="C24" i="3"/>
  <c r="G16" i="3"/>
  <c r="H16" i="3"/>
  <c r="I16" i="3"/>
  <c r="D24" i="3"/>
  <c r="B24" i="3"/>
  <c r="G23" i="3"/>
  <c r="H23" i="3"/>
  <c r="I23" i="3"/>
  <c r="J23" i="3"/>
  <c r="H45" i="3"/>
  <c r="I45" i="3"/>
  <c r="C25" i="3"/>
  <c r="D25" i="3"/>
  <c r="B25" i="3"/>
  <c r="G24" i="3"/>
  <c r="H24" i="3"/>
  <c r="I24" i="3"/>
  <c r="J24" i="3"/>
  <c r="H46" i="3"/>
  <c r="I46" i="3"/>
  <c r="G25" i="3"/>
  <c r="H25" i="3"/>
  <c r="I25" i="3"/>
  <c r="J25" i="3"/>
  <c r="H47" i="3"/>
  <c r="I47" i="3"/>
  <c r="G26" i="3"/>
  <c r="H26" i="3"/>
  <c r="I26" i="3"/>
  <c r="J26" i="3"/>
  <c r="H48" i="3"/>
  <c r="I48" i="3"/>
  <c r="G27" i="3"/>
  <c r="H27" i="3"/>
  <c r="I27" i="3"/>
  <c r="J27" i="3"/>
  <c r="H49" i="3"/>
  <c r="I49" i="3"/>
  <c r="G28" i="3"/>
  <c r="H28" i="3"/>
  <c r="I28" i="3"/>
  <c r="J28" i="3"/>
  <c r="H50" i="3"/>
  <c r="I50" i="3"/>
  <c r="C26" i="3"/>
  <c r="D26" i="3"/>
  <c r="B26" i="3"/>
  <c r="G29" i="3"/>
  <c r="H29" i="3"/>
  <c r="I29" i="3"/>
  <c r="J29" i="3"/>
  <c r="H51" i="3"/>
  <c r="I51" i="3"/>
  <c r="I56" i="3"/>
  <c r="I57" i="3"/>
  <c r="I53" i="3"/>
  <c r="I61" i="3"/>
  <c r="I66" i="3"/>
  <c r="I52" i="3"/>
  <c r="I60" i="3"/>
  <c r="I65" i="3"/>
  <c r="A42" i="3"/>
  <c r="C42" i="3"/>
  <c r="J42" i="3"/>
  <c r="K42" i="3"/>
  <c r="A43" i="3"/>
  <c r="C43" i="3"/>
  <c r="J43" i="3"/>
  <c r="K43" i="3"/>
  <c r="A44" i="3"/>
  <c r="C44" i="3"/>
  <c r="J44" i="3"/>
  <c r="K44" i="3"/>
  <c r="A45" i="3"/>
  <c r="C45" i="3"/>
  <c r="J45" i="3"/>
  <c r="K45" i="3"/>
  <c r="A46" i="3"/>
  <c r="C46" i="3"/>
  <c r="J46" i="3"/>
  <c r="K46" i="3"/>
  <c r="A47" i="3"/>
  <c r="C47" i="3"/>
  <c r="J47" i="3"/>
  <c r="K47" i="3"/>
  <c r="A48" i="3"/>
  <c r="C48" i="3"/>
  <c r="J48" i="3"/>
  <c r="K48" i="3"/>
  <c r="B27" i="3"/>
  <c r="C27" i="3"/>
  <c r="D27" i="3"/>
  <c r="A49" i="3"/>
  <c r="C49" i="3"/>
  <c r="J49" i="3"/>
  <c r="K49" i="3"/>
  <c r="B28" i="3"/>
  <c r="C28" i="3"/>
  <c r="D28" i="3"/>
  <c r="A50" i="3"/>
  <c r="C50" i="3"/>
  <c r="J50" i="3"/>
  <c r="K50" i="3"/>
  <c r="B29" i="3"/>
  <c r="C29" i="3"/>
  <c r="D29" i="3"/>
  <c r="A51" i="3"/>
  <c r="C51" i="3"/>
  <c r="J51" i="3"/>
  <c r="K51" i="3"/>
  <c r="K52" i="3"/>
  <c r="K60" i="3"/>
  <c r="J55" i="3"/>
  <c r="K55" i="3"/>
  <c r="K56" i="3"/>
  <c r="K57" i="3"/>
  <c r="K53" i="3"/>
  <c r="K61" i="3"/>
  <c r="K63" i="3"/>
  <c r="J52" i="3"/>
  <c r="J60" i="3"/>
  <c r="J56" i="3"/>
  <c r="J57" i="3"/>
  <c r="J53" i="3"/>
  <c r="J61" i="3"/>
  <c r="J63" i="3"/>
  <c r="I63" i="3"/>
  <c r="H52" i="3"/>
  <c r="H60" i="3"/>
  <c r="H56" i="3"/>
  <c r="H57" i="3"/>
  <c r="H53" i="3"/>
  <c r="H61" i="3"/>
  <c r="H63" i="3"/>
  <c r="K62" i="3"/>
  <c r="J62" i="3"/>
  <c r="I62" i="3"/>
  <c r="H62" i="3"/>
  <c r="K59" i="3"/>
  <c r="J59" i="3"/>
  <c r="H59" i="3"/>
  <c r="K20" i="3"/>
  <c r="B42" i="3"/>
  <c r="D42" i="3"/>
  <c r="K21" i="3"/>
  <c r="B43" i="3"/>
  <c r="D43" i="3"/>
  <c r="K22" i="3"/>
  <c r="B44" i="3"/>
  <c r="D44" i="3"/>
  <c r="K23" i="3"/>
  <c r="B45" i="3"/>
  <c r="D45" i="3"/>
  <c r="K24" i="3"/>
  <c r="B46" i="3"/>
  <c r="D46" i="3"/>
  <c r="K25" i="3"/>
  <c r="B47" i="3"/>
  <c r="D47" i="3"/>
  <c r="K26" i="3"/>
  <c r="B48" i="3"/>
  <c r="D48" i="3"/>
  <c r="K27" i="3"/>
  <c r="B49" i="3"/>
  <c r="D49" i="3"/>
  <c r="K28" i="3"/>
  <c r="B50" i="3"/>
  <c r="D50" i="3"/>
  <c r="K29" i="3"/>
  <c r="B51" i="3"/>
  <c r="D51" i="3"/>
  <c r="D52" i="3"/>
  <c r="C52" i="3"/>
  <c r="K41" i="3"/>
  <c r="J41" i="3"/>
  <c r="H41" i="3"/>
  <c r="K38" i="3"/>
  <c r="C33" i="3"/>
  <c r="D33" i="3"/>
  <c r="E33" i="3"/>
  <c r="F33" i="3"/>
  <c r="G33" i="3"/>
  <c r="H33" i="3"/>
  <c r="I33" i="3"/>
  <c r="J33" i="3"/>
  <c r="J38" i="3"/>
  <c r="I38" i="3"/>
  <c r="H38" i="3"/>
  <c r="G38" i="3"/>
  <c r="F38" i="3"/>
  <c r="E38" i="3"/>
  <c r="D38" i="3"/>
  <c r="C38" i="3"/>
  <c r="B38" i="3"/>
  <c r="A38" i="3"/>
  <c r="K37" i="3"/>
  <c r="J37" i="3"/>
  <c r="I37" i="3"/>
  <c r="H37" i="3"/>
  <c r="G37" i="3"/>
  <c r="F37" i="3"/>
  <c r="E37" i="3"/>
  <c r="D37" i="3"/>
  <c r="C37" i="3"/>
  <c r="B37" i="3"/>
  <c r="A37" i="3"/>
  <c r="K36" i="3"/>
  <c r="J36" i="3"/>
  <c r="I36" i="3"/>
  <c r="H36" i="3"/>
  <c r="G36" i="3"/>
  <c r="F36" i="3"/>
  <c r="E36" i="3"/>
  <c r="D36" i="3"/>
  <c r="C36" i="3"/>
  <c r="B36" i="3"/>
  <c r="A36" i="3"/>
  <c r="K35" i="3"/>
  <c r="J35" i="3"/>
  <c r="I35" i="3"/>
  <c r="H35" i="3"/>
  <c r="G35" i="3"/>
  <c r="F35" i="3"/>
  <c r="E35" i="3"/>
  <c r="D35" i="3"/>
  <c r="C35" i="3"/>
  <c r="B35" i="3"/>
  <c r="A35" i="3"/>
  <c r="K34" i="3"/>
  <c r="J34" i="3"/>
  <c r="I34" i="3"/>
  <c r="H34" i="3"/>
  <c r="G34" i="3"/>
  <c r="F34" i="3"/>
  <c r="E34" i="3"/>
  <c r="D34" i="3"/>
  <c r="C34" i="3"/>
  <c r="B34" i="3"/>
  <c r="A34" i="3"/>
  <c r="K30" i="3"/>
  <c r="J30" i="3"/>
  <c r="A24" i="3"/>
  <c r="A29" i="3"/>
  <c r="A23" i="3"/>
  <c r="A28" i="3"/>
  <c r="A22" i="3"/>
  <c r="A27" i="3"/>
  <c r="A21" i="3"/>
  <c r="A26" i="3"/>
  <c r="A20" i="3"/>
  <c r="A25" i="3"/>
  <c r="B44" i="2"/>
  <c r="E6" i="2"/>
  <c r="F19" i="2"/>
  <c r="E29" i="2"/>
  <c r="F29" i="2"/>
  <c r="E14" i="2"/>
  <c r="H19" i="2"/>
  <c r="G29" i="2"/>
  <c r="H29" i="2"/>
  <c r="D43" i="2"/>
  <c r="I29" i="2"/>
  <c r="J29" i="2"/>
  <c r="C43" i="2"/>
  <c r="E43" i="2"/>
  <c r="B43" i="2"/>
  <c r="E28" i="2"/>
  <c r="F28" i="2"/>
  <c r="G28" i="2"/>
  <c r="H28" i="2"/>
  <c r="D42" i="2"/>
  <c r="I28" i="2"/>
  <c r="J28" i="2"/>
  <c r="C42" i="2"/>
  <c r="E42" i="2"/>
  <c r="B42" i="2"/>
  <c r="E27" i="2"/>
  <c r="F27" i="2"/>
  <c r="G27" i="2"/>
  <c r="H27" i="2"/>
  <c r="D41" i="2"/>
  <c r="I27" i="2"/>
  <c r="J27" i="2"/>
  <c r="C41" i="2"/>
  <c r="E41" i="2"/>
  <c r="B41" i="2"/>
  <c r="E26" i="2"/>
  <c r="F26" i="2"/>
  <c r="G26" i="2"/>
  <c r="H26" i="2"/>
  <c r="D40" i="2"/>
  <c r="I26" i="2"/>
  <c r="J26" i="2"/>
  <c r="C40" i="2"/>
  <c r="E40" i="2"/>
  <c r="B40" i="2"/>
  <c r="E25" i="2"/>
  <c r="F25" i="2"/>
  <c r="G25" i="2"/>
  <c r="H25" i="2"/>
  <c r="D39" i="2"/>
  <c r="I25" i="2"/>
  <c r="J25" i="2"/>
  <c r="C39" i="2"/>
  <c r="E39" i="2"/>
  <c r="B39" i="2"/>
  <c r="E24" i="2"/>
  <c r="F24" i="2"/>
  <c r="G24" i="2"/>
  <c r="H24" i="2"/>
  <c r="D38" i="2"/>
  <c r="I24" i="2"/>
  <c r="J24" i="2"/>
  <c r="C38" i="2"/>
  <c r="E38" i="2"/>
  <c r="B38" i="2"/>
  <c r="E23" i="2"/>
  <c r="F23" i="2"/>
  <c r="G23" i="2"/>
  <c r="H23" i="2"/>
  <c r="D37" i="2"/>
  <c r="I23" i="2"/>
  <c r="J23" i="2"/>
  <c r="C37" i="2"/>
  <c r="E37" i="2"/>
  <c r="B37" i="2"/>
  <c r="E22" i="2"/>
  <c r="F22" i="2"/>
  <c r="G22" i="2"/>
  <c r="H22" i="2"/>
  <c r="D36" i="2"/>
  <c r="I22" i="2"/>
  <c r="J22" i="2"/>
  <c r="C36" i="2"/>
  <c r="E36" i="2"/>
  <c r="B36" i="2"/>
  <c r="E21" i="2"/>
  <c r="F21" i="2"/>
  <c r="G21" i="2"/>
  <c r="H21" i="2"/>
  <c r="D35" i="2"/>
  <c r="I21" i="2"/>
  <c r="J21" i="2"/>
  <c r="C35" i="2"/>
  <c r="E35" i="2"/>
  <c r="B35" i="2"/>
  <c r="E34" i="2"/>
  <c r="B34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19" i="2"/>
  <c r="I12" i="2"/>
  <c r="I6" i="2"/>
</calcChain>
</file>

<file path=xl/sharedStrings.xml><?xml version="1.0" encoding="utf-8"?>
<sst xmlns="http://schemas.openxmlformats.org/spreadsheetml/2006/main" count="428" uniqueCount="360">
  <si>
    <t>1. Preparation of host stock solution and measure absorbance</t>
    <phoneticPr fontId="5"/>
  </si>
  <si>
    <t>Host</t>
    <phoneticPr fontId="5"/>
  </si>
  <si>
    <t>Wcr</t>
    <phoneticPr fontId="5"/>
  </si>
  <si>
    <t>Weight(mg)</t>
    <phoneticPr fontId="5"/>
  </si>
  <si>
    <t>Host Stock Soln.</t>
    <phoneticPr fontId="5"/>
  </si>
  <si>
    <r>
      <t>l</t>
    </r>
    <r>
      <rPr>
        <sz val="12"/>
        <rFont val="Times"/>
      </rPr>
      <t>obs</t>
    </r>
    <r>
      <rPr>
        <sz val="12"/>
        <color theme="1"/>
        <rFont val="ＭＳ Ｐゴシック"/>
        <family val="2"/>
        <charset val="128"/>
        <scheme val="minor"/>
      </rPr>
      <t>=</t>
    </r>
    <phoneticPr fontId="5"/>
  </si>
  <si>
    <t>Molecular Weight</t>
  </si>
  <si>
    <t>mol/l</t>
    <phoneticPr fontId="5"/>
  </si>
  <si>
    <t>Volume(ml)</t>
    <phoneticPr fontId="5"/>
  </si>
  <si>
    <t>2. Preparation of guest stock solution</t>
    <phoneticPr fontId="5"/>
  </si>
  <si>
    <t>picked up</t>
    <phoneticPr fontId="5"/>
  </si>
  <si>
    <t>diluted to</t>
    <phoneticPr fontId="5"/>
  </si>
  <si>
    <t>Guest</t>
    <phoneticPr fontId="5"/>
  </si>
  <si>
    <t>2APO</t>
    <phoneticPr fontId="5"/>
  </si>
  <si>
    <t>Purity(%)</t>
    <phoneticPr fontId="5"/>
  </si>
  <si>
    <t>Molecular  Weight</t>
  </si>
  <si>
    <t>Guest Stock Soln.</t>
    <phoneticPr fontId="5"/>
  </si>
  <si>
    <t>Volume(ml)</t>
    <phoneticPr fontId="5"/>
  </si>
  <si>
    <t>mol/l</t>
    <phoneticPr fontId="5"/>
  </si>
  <si>
    <r>
      <t xml:space="preserve">3. Input the amount of host and guest stock solution mixed in UV cell and observed absorbance </t>
    </r>
    <r>
      <rPr>
        <b/>
        <i/>
        <sz val="12"/>
        <rFont val="Osaka"/>
        <charset val="128"/>
      </rPr>
      <t>Aobs</t>
    </r>
    <phoneticPr fontId="5"/>
  </si>
  <si>
    <r>
      <t>e</t>
    </r>
    <r>
      <rPr>
        <i/>
        <sz val="9"/>
        <rFont val="Osaka"/>
        <charset val="128"/>
      </rPr>
      <t>h</t>
    </r>
    <phoneticPr fontId="5"/>
  </si>
  <si>
    <r>
      <t>e</t>
    </r>
    <r>
      <rPr>
        <i/>
        <sz val="12"/>
        <rFont val="Times"/>
      </rPr>
      <t>g</t>
    </r>
    <phoneticPr fontId="5"/>
  </si>
  <si>
    <t>Ka</t>
    <phoneticPr fontId="5"/>
  </si>
  <si>
    <r>
      <t>e</t>
    </r>
    <r>
      <rPr>
        <i/>
        <sz val="9"/>
        <rFont val="Osaka"/>
        <charset val="128"/>
      </rPr>
      <t>c</t>
    </r>
    <phoneticPr fontId="5"/>
  </si>
  <si>
    <t>average</t>
    <phoneticPr fontId="5"/>
  </si>
  <si>
    <t>Added amount of stock soln.</t>
    <phoneticPr fontId="5"/>
  </si>
  <si>
    <t>Run</t>
    <phoneticPr fontId="5"/>
  </si>
  <si>
    <t>Host(ml)</t>
  </si>
  <si>
    <t>Guest(ml)</t>
  </si>
  <si>
    <t>Aobs</t>
  </si>
  <si>
    <t>[H]</t>
  </si>
  <si>
    <r>
      <t>Ah</t>
    </r>
    <r>
      <rPr>
        <sz val="12"/>
        <rFont val="Osaka"/>
        <charset val="128"/>
      </rPr>
      <t xml:space="preserve"> parts</t>
    </r>
    <phoneticPr fontId="5"/>
  </si>
  <si>
    <t>[G]</t>
  </si>
  <si>
    <r>
      <t>Ag</t>
    </r>
    <r>
      <rPr>
        <sz val="12"/>
        <rFont val="Osaka"/>
        <charset val="128"/>
      </rPr>
      <t xml:space="preserve"> parts</t>
    </r>
    <phoneticPr fontId="5"/>
  </si>
  <si>
    <t>forecasted[C]</t>
  </si>
  <si>
    <r>
      <t>forecasted</t>
    </r>
    <r>
      <rPr>
        <i/>
        <sz val="12"/>
        <rFont val="Osaka"/>
        <charset val="128"/>
      </rPr>
      <t>Ac</t>
    </r>
    <phoneticPr fontId="5"/>
  </si>
  <si>
    <r>
      <t>forecasted</t>
    </r>
    <r>
      <rPr>
        <i/>
        <sz val="12"/>
        <rFont val="Osaka"/>
        <charset val="128"/>
      </rPr>
      <t>Aobs</t>
    </r>
    <phoneticPr fontId="5"/>
  </si>
  <si>
    <t>[H]+[G]</t>
  </si>
  <si>
    <t>4. For the calcd line in Figure, do Tool-Solver: minimize E34 by changing I19&amp;J19</t>
    <phoneticPr fontId="5"/>
  </si>
  <si>
    <t>Graph Data</t>
  </si>
  <si>
    <t>[H]o/[H]o+[G]o</t>
    <phoneticPr fontId="5"/>
  </si>
  <si>
    <r>
      <t>forecasted.</t>
    </r>
    <r>
      <rPr>
        <i/>
        <sz val="12"/>
        <color indexed="56"/>
        <rFont val="Osaka"/>
        <family val="3"/>
        <charset val="128"/>
      </rPr>
      <t xml:space="preserve"> Ac</t>
    </r>
  </si>
  <si>
    <t>Aobs-Ah-Ag</t>
    <phoneticPr fontId="5"/>
  </si>
  <si>
    <r>
      <t xml:space="preserve">S </t>
    </r>
    <r>
      <rPr>
        <sz val="12"/>
        <color theme="1"/>
        <rFont val="ＭＳ Ｐゴシック"/>
        <family val="2"/>
        <charset val="128"/>
        <scheme val="minor"/>
      </rPr>
      <t>d^2</t>
    </r>
    <phoneticPr fontId="5"/>
  </si>
  <si>
    <t xml:space="preserve"> </t>
    <phoneticPr fontId="5"/>
  </si>
  <si>
    <t>1. Basic Equations</t>
    <phoneticPr fontId="5"/>
  </si>
  <si>
    <r>
      <t>1/K=(An-Ahn-Agn)/(</t>
    </r>
    <r>
      <rPr>
        <i/>
        <sz val="12"/>
        <rFont val="Osaka"/>
        <charset val="128"/>
      </rPr>
      <t>ε</t>
    </r>
    <r>
      <rPr>
        <i/>
        <vertAlign val="subscript"/>
        <sz val="12"/>
        <rFont val="Times"/>
      </rPr>
      <t>c</t>
    </r>
    <r>
      <rPr>
        <i/>
        <sz val="12"/>
        <rFont val="Times"/>
      </rPr>
      <t>-</t>
    </r>
    <r>
      <rPr>
        <i/>
        <sz val="12"/>
        <rFont val="Osaka"/>
        <charset val="128"/>
      </rPr>
      <t>ε</t>
    </r>
    <r>
      <rPr>
        <i/>
        <vertAlign val="subscript"/>
        <sz val="12"/>
        <rFont val="Times"/>
      </rPr>
      <t>h</t>
    </r>
    <r>
      <rPr>
        <i/>
        <sz val="12"/>
        <rFont val="Times"/>
      </rPr>
      <t>-</t>
    </r>
    <r>
      <rPr>
        <i/>
        <sz val="12"/>
        <rFont val="Osaka"/>
        <charset val="128"/>
      </rPr>
      <t>ε</t>
    </r>
    <r>
      <rPr>
        <i/>
        <vertAlign val="subscript"/>
        <sz val="12"/>
        <rFont val="Times"/>
      </rPr>
      <t>g</t>
    </r>
    <r>
      <rPr>
        <i/>
        <sz val="12"/>
        <rFont val="Times"/>
      </rPr>
      <t>)-([H]0n+[G]0n)</t>
    </r>
    <phoneticPr fontId="5"/>
  </si>
  <si>
    <r>
      <t>+[H]0n[G]0n(</t>
    </r>
    <r>
      <rPr>
        <i/>
        <sz val="12"/>
        <rFont val="Osaka"/>
        <charset val="128"/>
      </rPr>
      <t>ε</t>
    </r>
    <r>
      <rPr>
        <i/>
        <sz val="12"/>
        <rFont val="Times"/>
      </rPr>
      <t>c-</t>
    </r>
    <r>
      <rPr>
        <i/>
        <sz val="12"/>
        <rFont val="Osaka"/>
        <charset val="128"/>
      </rPr>
      <t>ε</t>
    </r>
    <r>
      <rPr>
        <i/>
        <sz val="12"/>
        <rFont val="Times"/>
      </rPr>
      <t>h-</t>
    </r>
    <r>
      <rPr>
        <i/>
        <sz val="12"/>
        <rFont val="Osaka"/>
        <charset val="128"/>
      </rPr>
      <t>ε</t>
    </r>
    <r>
      <rPr>
        <i/>
        <sz val="12"/>
        <rFont val="Times"/>
      </rPr>
      <t>g)/(An-Ahn-Agn)</t>
    </r>
    <phoneticPr fontId="5"/>
  </si>
  <si>
    <t>Instruction</t>
    <phoneticPr fontId="5"/>
  </si>
  <si>
    <t>an</t>
  </si>
  <si>
    <t>=An-Ahn-Agn</t>
    <phoneticPr fontId="5"/>
  </si>
  <si>
    <r>
      <t>=An-</t>
    </r>
    <r>
      <rPr>
        <i/>
        <sz val="12"/>
        <rFont val="Symbol"/>
      </rPr>
      <t>e</t>
    </r>
    <r>
      <rPr>
        <i/>
        <vertAlign val="subscript"/>
        <sz val="12"/>
        <rFont val="Times"/>
      </rPr>
      <t>h</t>
    </r>
    <r>
      <rPr>
        <i/>
        <sz val="12"/>
        <rFont val="Osaka"/>
        <charset val="128"/>
      </rPr>
      <t>･</t>
    </r>
    <r>
      <rPr>
        <i/>
        <sz val="12"/>
        <rFont val="Times"/>
      </rPr>
      <t>[H]</t>
    </r>
    <r>
      <rPr>
        <i/>
        <sz val="8"/>
        <rFont val="Times"/>
      </rPr>
      <t>0</t>
    </r>
    <r>
      <rPr>
        <i/>
        <sz val="12"/>
        <rFont val="Times"/>
      </rPr>
      <t>n-</t>
    </r>
    <r>
      <rPr>
        <i/>
        <sz val="12"/>
        <rFont val="Symbol"/>
      </rPr>
      <t>e</t>
    </r>
    <r>
      <rPr>
        <i/>
        <sz val="12"/>
        <rFont val="Times"/>
      </rPr>
      <t>g</t>
    </r>
    <r>
      <rPr>
        <i/>
        <sz val="12"/>
        <rFont val="Osaka"/>
        <charset val="128"/>
      </rPr>
      <t>･</t>
    </r>
    <r>
      <rPr>
        <i/>
        <sz val="12"/>
        <rFont val="Times"/>
      </rPr>
      <t>[G]</t>
    </r>
    <r>
      <rPr>
        <i/>
        <sz val="8"/>
        <rFont val="Times"/>
      </rPr>
      <t>0</t>
    </r>
    <r>
      <rPr>
        <i/>
        <sz val="12"/>
        <rFont val="Times"/>
      </rPr>
      <t>n</t>
    </r>
    <phoneticPr fontId="5"/>
  </si>
  <si>
    <t xml:space="preserve"> 1. Input data into gray cells at 2!</t>
    <phoneticPr fontId="5"/>
  </si>
  <si>
    <t>bn</t>
  </si>
  <si>
    <r>
      <t>=-([H]</t>
    </r>
    <r>
      <rPr>
        <i/>
        <sz val="8"/>
        <rFont val="Times"/>
      </rPr>
      <t>0</t>
    </r>
    <r>
      <rPr>
        <i/>
        <sz val="12"/>
        <rFont val="Times"/>
      </rPr>
      <t>n+[G]</t>
    </r>
    <r>
      <rPr>
        <i/>
        <sz val="8"/>
        <rFont val="Times"/>
      </rPr>
      <t>0</t>
    </r>
    <r>
      <rPr>
        <i/>
        <sz val="12"/>
        <rFont val="Times"/>
      </rPr>
      <t>n)</t>
    </r>
    <phoneticPr fontId="5"/>
  </si>
  <si>
    <t xml:space="preserve"> 2. Remove improper data at 8!</t>
    <phoneticPr fontId="5"/>
  </si>
  <si>
    <t>cn</t>
  </si>
  <si>
    <r>
      <t>=[H]</t>
    </r>
    <r>
      <rPr>
        <i/>
        <sz val="8"/>
        <rFont val="Times"/>
      </rPr>
      <t>0</t>
    </r>
    <r>
      <rPr>
        <i/>
        <sz val="12"/>
        <rFont val="Times"/>
      </rPr>
      <t>n[G]</t>
    </r>
    <r>
      <rPr>
        <i/>
        <sz val="8"/>
        <rFont val="Times"/>
      </rPr>
      <t>0</t>
    </r>
    <r>
      <rPr>
        <i/>
        <sz val="12"/>
        <rFont val="Times"/>
      </rPr>
      <t>n/(An-Ahn-Agn)</t>
    </r>
    <phoneticPr fontId="5"/>
  </si>
  <si>
    <t xml:space="preserve"> 3. Check reliability in the graph at 9! </t>
    <phoneticPr fontId="5"/>
  </si>
  <si>
    <t>Y=1/K</t>
    <phoneticPr fontId="5"/>
  </si>
  <si>
    <t xml:space="preserve"> 4. That's all!</t>
    <phoneticPr fontId="5"/>
  </si>
  <si>
    <r>
      <t>X=</t>
    </r>
    <r>
      <rPr>
        <i/>
        <sz val="12"/>
        <rFont val="Osaka"/>
        <charset val="128"/>
      </rPr>
      <t>ε</t>
    </r>
    <r>
      <rPr>
        <i/>
        <vertAlign val="subscript"/>
        <sz val="12"/>
        <rFont val="Times"/>
      </rPr>
      <t>c</t>
    </r>
    <r>
      <rPr>
        <i/>
        <sz val="12"/>
        <rFont val="Times"/>
      </rPr>
      <t>-</t>
    </r>
    <r>
      <rPr>
        <i/>
        <sz val="12"/>
        <rFont val="Osaka"/>
        <charset val="128"/>
      </rPr>
      <t>ε</t>
    </r>
    <r>
      <rPr>
        <i/>
        <vertAlign val="subscript"/>
        <sz val="12"/>
        <rFont val="Times"/>
      </rPr>
      <t>h</t>
    </r>
    <r>
      <rPr>
        <i/>
        <sz val="12"/>
        <rFont val="Times"/>
      </rPr>
      <t>-</t>
    </r>
    <r>
      <rPr>
        <i/>
        <sz val="12"/>
        <rFont val="Osaka"/>
        <charset val="128"/>
      </rPr>
      <t>ε</t>
    </r>
    <r>
      <rPr>
        <i/>
        <vertAlign val="subscript"/>
        <sz val="12"/>
        <rFont val="Times"/>
      </rPr>
      <t>g</t>
    </r>
    <phoneticPr fontId="5"/>
  </si>
  <si>
    <r>
      <t>∴</t>
    </r>
    <r>
      <rPr>
        <i/>
        <sz val="12"/>
        <rFont val="Times"/>
      </rPr>
      <t>Y=an/X+bn+cn*X</t>
    </r>
  </si>
  <si>
    <t>2. Data of Titration Experiment</t>
    <phoneticPr fontId="5"/>
  </si>
  <si>
    <t>Host Abb.</t>
    <phoneticPr fontId="5"/>
  </si>
  <si>
    <t>SR{24D}</t>
    <phoneticPr fontId="5"/>
  </si>
  <si>
    <r>
      <t>[H]</t>
    </r>
    <r>
      <rPr>
        <i/>
        <sz val="8"/>
        <rFont val="Times"/>
      </rPr>
      <t>0</t>
    </r>
    <r>
      <rPr>
        <i/>
        <sz val="12"/>
        <rFont val="Times"/>
      </rPr>
      <t>n</t>
    </r>
    <phoneticPr fontId="5"/>
  </si>
  <si>
    <r>
      <t>[G]</t>
    </r>
    <r>
      <rPr>
        <i/>
        <sz val="8"/>
        <rFont val="Times"/>
      </rPr>
      <t>0</t>
    </r>
    <r>
      <rPr>
        <i/>
        <sz val="12"/>
        <rFont val="Times"/>
      </rPr>
      <t>n</t>
    </r>
    <phoneticPr fontId="5"/>
  </si>
  <si>
    <t>An</t>
    <phoneticPr fontId="5"/>
  </si>
  <si>
    <t>Ahn</t>
    <phoneticPr fontId="5"/>
  </si>
  <si>
    <t>Agn</t>
    <phoneticPr fontId="5"/>
  </si>
  <si>
    <t>An-Ahn-Agn</t>
    <phoneticPr fontId="5"/>
  </si>
  <si>
    <t>Guest Abb.</t>
    <phoneticPr fontId="5"/>
  </si>
  <si>
    <t>1APO</t>
  </si>
  <si>
    <t>n=1</t>
  </si>
  <si>
    <r>
      <t>Temp/</t>
    </r>
    <r>
      <rPr>
        <sz val="12"/>
        <rFont val="Osaka"/>
        <charset val="128"/>
      </rPr>
      <t>℃</t>
    </r>
  </si>
  <si>
    <t>n=2</t>
  </si>
  <si>
    <r>
      <t>l</t>
    </r>
    <r>
      <rPr>
        <sz val="12"/>
        <rFont val="Times"/>
      </rPr>
      <t>obs/nm</t>
    </r>
    <phoneticPr fontId="5"/>
  </si>
  <si>
    <t>n=3</t>
  </si>
  <si>
    <r>
      <t>e</t>
    </r>
    <r>
      <rPr>
        <sz val="9"/>
        <rFont val="Times"/>
      </rPr>
      <t>h</t>
    </r>
    <phoneticPr fontId="5"/>
  </si>
  <si>
    <t>n=4</t>
  </si>
  <si>
    <r>
      <t>e</t>
    </r>
    <r>
      <rPr>
        <sz val="9"/>
        <rFont val="Times"/>
      </rPr>
      <t>g</t>
    </r>
    <phoneticPr fontId="5"/>
  </si>
  <si>
    <t>n=5</t>
  </si>
  <si>
    <r>
      <t xml:space="preserve">3. Calculation of </t>
    </r>
    <r>
      <rPr>
        <i/>
        <sz val="14"/>
        <rFont val="Osaka"/>
        <charset val="128"/>
      </rPr>
      <t xml:space="preserve">an, bn, </t>
    </r>
    <r>
      <rPr>
        <sz val="14"/>
        <rFont val="Osaka"/>
        <charset val="128"/>
      </rPr>
      <t>and</t>
    </r>
    <r>
      <rPr>
        <i/>
        <sz val="14"/>
        <rFont val="Osaka"/>
        <charset val="128"/>
      </rPr>
      <t xml:space="preserve"> cn</t>
    </r>
    <r>
      <rPr>
        <sz val="14"/>
        <rFont val="Osaka"/>
        <charset val="128"/>
      </rPr>
      <t>.</t>
    </r>
    <phoneticPr fontId="5"/>
  </si>
  <si>
    <t>4. Calcd. X1, X2</t>
    <phoneticPr fontId="5"/>
  </si>
  <si>
    <r>
      <t xml:space="preserve">5. Ordering of </t>
    </r>
    <r>
      <rPr>
        <sz val="14"/>
        <rFont val="Osaka"/>
        <charset val="128"/>
      </rPr>
      <t>Ｘ</t>
    </r>
    <r>
      <rPr>
        <sz val="14"/>
        <rFont val="Helvetica"/>
      </rPr>
      <t xml:space="preserve">1, </t>
    </r>
    <r>
      <rPr>
        <sz val="14"/>
        <rFont val="Osaka"/>
        <charset val="128"/>
      </rPr>
      <t>Ｘ</t>
    </r>
    <r>
      <rPr>
        <sz val="14"/>
        <rFont val="Helvetica"/>
      </rPr>
      <t>2(X1&gt;X2)</t>
    </r>
    <phoneticPr fontId="5"/>
  </si>
  <si>
    <t>n</t>
  </si>
  <si>
    <t>combination of n</t>
    <phoneticPr fontId="5"/>
  </si>
  <si>
    <r>
      <t>X</t>
    </r>
    <r>
      <rPr>
        <sz val="10"/>
        <rFont val="Times"/>
      </rPr>
      <t>1</t>
    </r>
  </si>
  <si>
    <r>
      <t>X</t>
    </r>
    <r>
      <rPr>
        <sz val="10"/>
        <rFont val="Times"/>
      </rPr>
      <t>2</t>
    </r>
  </si>
  <si>
    <r>
      <t>X</t>
    </r>
    <r>
      <rPr>
        <sz val="10"/>
        <rFont val="Times"/>
      </rPr>
      <t>1</t>
    </r>
    <r>
      <rPr>
        <sz val="12"/>
        <rFont val="Times"/>
      </rPr>
      <t>-X</t>
    </r>
    <r>
      <rPr>
        <sz val="10"/>
        <rFont val="Times"/>
      </rPr>
      <t>2</t>
    </r>
  </si>
  <si>
    <t>6. Data for Graph</t>
    <phoneticPr fontId="5"/>
  </si>
  <si>
    <t>Y=1/K</t>
  </si>
  <si>
    <r>
      <t>X=</t>
    </r>
    <r>
      <rPr>
        <i/>
        <sz val="12"/>
        <rFont val="Osaka"/>
        <charset val="128"/>
      </rPr>
      <t>ε</t>
    </r>
    <r>
      <rPr>
        <i/>
        <sz val="12"/>
        <rFont val="Times"/>
      </rPr>
      <t>c-</t>
    </r>
    <r>
      <rPr>
        <i/>
        <sz val="12"/>
        <rFont val="Osaka"/>
        <charset val="128"/>
      </rPr>
      <t>ε</t>
    </r>
    <r>
      <rPr>
        <i/>
        <sz val="12"/>
        <rFont val="Times"/>
      </rPr>
      <t>h-</t>
    </r>
    <r>
      <rPr>
        <i/>
        <sz val="12"/>
        <rFont val="Osaka"/>
        <charset val="128"/>
      </rPr>
      <t>ε</t>
    </r>
    <r>
      <rPr>
        <i/>
        <sz val="12"/>
        <rFont val="Times"/>
      </rPr>
      <t>g</t>
    </r>
    <phoneticPr fontId="5"/>
  </si>
  <si>
    <t>Y=an/X+bn+cnX</t>
  </si>
  <si>
    <r>
      <t xml:space="preserve">7. Y1, Y2 and </t>
    </r>
    <r>
      <rPr>
        <i/>
        <sz val="14"/>
        <rFont val="Osaka"/>
        <charset val="128"/>
      </rPr>
      <t>Ｋ1, K2</t>
    </r>
    <r>
      <rPr>
        <sz val="14"/>
        <rFont val="Osaka"/>
        <charset val="128"/>
      </rPr>
      <t xml:space="preserve"> from X1, X2</t>
    </r>
    <phoneticPr fontId="5"/>
  </si>
  <si>
    <r>
      <t>8. Statistical treatment of X1(</t>
    </r>
    <r>
      <rPr>
        <sz val="14"/>
        <rFont val="Symbol"/>
      </rPr>
      <t>e</t>
    </r>
    <r>
      <rPr>
        <sz val="14"/>
        <rFont val="Osaka"/>
        <charset val="128"/>
      </rPr>
      <t>c-</t>
    </r>
    <r>
      <rPr>
        <sz val="14"/>
        <rFont val="Symbol"/>
      </rPr>
      <t>e</t>
    </r>
    <r>
      <rPr>
        <sz val="14"/>
        <rFont val="Osaka"/>
        <charset val="128"/>
      </rPr>
      <t>h-</t>
    </r>
    <r>
      <rPr>
        <sz val="14"/>
        <rFont val="Symbol"/>
      </rPr>
      <t>e</t>
    </r>
    <r>
      <rPr>
        <sz val="14"/>
        <rFont val="Osaka"/>
        <charset val="128"/>
      </rPr>
      <t xml:space="preserve">g) and </t>
    </r>
    <r>
      <rPr>
        <i/>
        <sz val="14"/>
        <rFont val="Osaka"/>
        <charset val="128"/>
      </rPr>
      <t>K</t>
    </r>
    <phoneticPr fontId="5"/>
  </si>
  <si>
    <r>
      <t>Y</t>
    </r>
    <r>
      <rPr>
        <sz val="10"/>
        <rFont val="Times"/>
      </rPr>
      <t>1</t>
    </r>
  </si>
  <si>
    <r>
      <t>Y</t>
    </r>
    <r>
      <rPr>
        <sz val="10"/>
        <rFont val="Times"/>
      </rPr>
      <t>2</t>
    </r>
  </si>
  <si>
    <r>
      <t>K</t>
    </r>
    <r>
      <rPr>
        <i/>
        <sz val="10"/>
        <rFont val="Times"/>
      </rPr>
      <t>1=1/Y1</t>
    </r>
    <phoneticPr fontId="5"/>
  </si>
  <si>
    <r>
      <t>K</t>
    </r>
    <r>
      <rPr>
        <i/>
        <sz val="10"/>
        <rFont val="Times"/>
      </rPr>
      <t>2=1/Y2</t>
    </r>
    <phoneticPr fontId="5"/>
  </si>
  <si>
    <t>combination of n</t>
    <phoneticPr fontId="5"/>
  </si>
  <si>
    <t>Check Data Here</t>
    <phoneticPr fontId="5"/>
  </si>
  <si>
    <t>Average</t>
  </si>
  <si>
    <t>9. Graphical Expression</t>
    <phoneticPr fontId="5"/>
  </si>
  <si>
    <t>standard deviation</t>
    <phoneticPr fontId="5"/>
  </si>
  <si>
    <r>
      <t xml:space="preserve">level of significance </t>
    </r>
    <r>
      <rPr>
        <sz val="12"/>
        <rFont val="Symbol"/>
      </rPr>
      <t>a</t>
    </r>
    <phoneticPr fontId="5"/>
  </si>
  <si>
    <t>degree of freedom</t>
    <phoneticPr fontId="5"/>
  </si>
  <si>
    <r>
      <t>t</t>
    </r>
    <r>
      <rPr>
        <vertAlign val="subscript"/>
        <sz val="12"/>
        <rFont val="Times"/>
      </rPr>
      <t>a/2</t>
    </r>
  </si>
  <si>
    <t>confidence interval</t>
    <phoneticPr fontId="5"/>
  </si>
  <si>
    <t>x</t>
  </si>
  <si>
    <t>±</t>
    <phoneticPr fontId="5"/>
  </si>
  <si>
    <t>Upper limit</t>
    <phoneticPr fontId="5"/>
  </si>
  <si>
    <t>Lower limit</t>
    <phoneticPr fontId="5"/>
  </si>
  <si>
    <r>
      <t>e</t>
    </r>
    <r>
      <rPr>
        <sz val="9"/>
        <rFont val="Times"/>
      </rPr>
      <t>c</t>
    </r>
    <r>
      <rPr>
        <sz val="12"/>
        <rFont val="Times"/>
      </rPr>
      <t>=</t>
    </r>
    <phoneticPr fontId="5"/>
  </si>
  <si>
    <r>
      <t xml:space="preserve">Area for </t>
    </r>
    <r>
      <rPr>
        <sz val="12"/>
        <color indexed="12"/>
        <rFont val="Arial"/>
      </rPr>
      <t>SD</t>
    </r>
    <r>
      <rPr>
        <sz val="12"/>
        <rFont val="Arial"/>
      </rPr>
      <t xml:space="preserve"> Data (Results)</t>
    </r>
    <phoneticPr fontId="5"/>
  </si>
  <si>
    <t>Parameters</t>
    <phoneticPr fontId="5"/>
  </si>
  <si>
    <r>
      <t>δ</t>
    </r>
    <r>
      <rPr>
        <sz val="12"/>
        <rFont val="ＭＳ Ｐ明朝"/>
        <family val="3"/>
        <charset val="128"/>
      </rPr>
      <t>ｈ</t>
    </r>
    <phoneticPr fontId="5"/>
  </si>
  <si>
    <r>
      <t>δ</t>
    </r>
    <r>
      <rPr>
        <vertAlign val="subscript"/>
        <sz val="12"/>
        <rFont val="Arial"/>
      </rPr>
      <t>GHG</t>
    </r>
    <r>
      <rPr>
        <sz val="12"/>
        <rFont val="Arial"/>
      </rPr>
      <t>-complex</t>
    </r>
    <phoneticPr fontId="5"/>
  </si>
  <si>
    <r>
      <t>K</t>
    </r>
    <r>
      <rPr>
        <i/>
        <vertAlign val="subscript"/>
        <sz val="12"/>
        <rFont val="Arial"/>
      </rPr>
      <t>12</t>
    </r>
    <phoneticPr fontId="5"/>
  </si>
  <si>
    <t>Values</t>
    <phoneticPr fontId="5"/>
  </si>
  <si>
    <t>SDs</t>
    <phoneticPr fontId="5"/>
  </si>
  <si>
    <t>R^2, SE(y)</t>
    <phoneticPr fontId="5"/>
  </si>
  <si>
    <t>Instruction</t>
    <phoneticPr fontId="5"/>
  </si>
  <si>
    <t>Sample Preparation</t>
  </si>
  <si>
    <t xml:space="preserve">Host </t>
  </si>
  <si>
    <t xml:space="preserve">Guest </t>
  </si>
  <si>
    <r>
      <t>1</t>
    </r>
    <r>
      <rPr>
        <sz val="12"/>
        <rFont val="Arial"/>
      </rPr>
      <t>H NMR-Condition</t>
    </r>
    <phoneticPr fontId="5"/>
  </si>
  <si>
    <t>Regression (coefficients)</t>
    <phoneticPr fontId="5"/>
  </si>
  <si>
    <t xml:space="preserve"> 1. Input data into gray cells</t>
    <phoneticPr fontId="5"/>
  </si>
  <si>
    <t>Sample Name</t>
    <phoneticPr fontId="5"/>
  </si>
  <si>
    <t>Host12</t>
    <phoneticPr fontId="5"/>
  </si>
  <si>
    <t>Guest2</t>
    <phoneticPr fontId="5"/>
  </si>
  <si>
    <r>
      <t>Volume (μL</t>
    </r>
    <r>
      <rPr>
        <sz val="12"/>
        <rFont val="リュウミンライト−ＫＬ"/>
        <charset val="128"/>
      </rPr>
      <t>）</t>
    </r>
    <phoneticPr fontId="5"/>
  </si>
  <si>
    <r>
      <t>δ</t>
    </r>
    <r>
      <rPr>
        <sz val="12"/>
        <rFont val="ＭＳ Ｐ明朝"/>
        <family val="3"/>
        <charset val="128"/>
      </rPr>
      <t>ｈ</t>
    </r>
    <phoneticPr fontId="5"/>
  </si>
  <si>
    <t xml:space="preserve">     include K8,9&amp;10 as initial values.</t>
    <phoneticPr fontId="5"/>
  </si>
  <si>
    <t>Weight(mg)</t>
  </si>
  <si>
    <t>HostPurity</t>
    <phoneticPr fontId="5"/>
  </si>
  <si>
    <r>
      <t>δ</t>
    </r>
    <r>
      <rPr>
        <vertAlign val="subscript"/>
        <sz val="12"/>
        <rFont val="Arial"/>
      </rPr>
      <t>GHG</t>
    </r>
    <r>
      <rPr>
        <sz val="12"/>
        <rFont val="Arial"/>
      </rPr>
      <t>-complex</t>
    </r>
    <phoneticPr fontId="5"/>
  </si>
  <si>
    <r>
      <t xml:space="preserve"> 2. Do [SOLVER] to minimize</t>
    </r>
    <r>
      <rPr>
        <b/>
        <sz val="12"/>
        <color indexed="14"/>
        <rFont val="Arial"/>
      </rPr>
      <t xml:space="preserve"> K11</t>
    </r>
    <phoneticPr fontId="5"/>
  </si>
  <si>
    <t>MW</t>
  </si>
  <si>
    <t>Temp/ºC</t>
    <phoneticPr fontId="5"/>
  </si>
  <si>
    <r>
      <t>K</t>
    </r>
    <r>
      <rPr>
        <i/>
        <vertAlign val="subscript"/>
        <sz val="12"/>
        <rFont val="Arial"/>
      </rPr>
      <t>12</t>
    </r>
    <phoneticPr fontId="5"/>
  </si>
  <si>
    <r>
      <t xml:space="preserve">     by changing</t>
    </r>
    <r>
      <rPr>
        <b/>
        <sz val="12"/>
        <color indexed="10"/>
        <rFont val="Arial"/>
      </rPr>
      <t xml:space="preserve"> K8-10</t>
    </r>
    <r>
      <rPr>
        <b/>
        <sz val="12"/>
        <color indexed="18"/>
        <rFont val="Arial"/>
      </rPr>
      <t>.</t>
    </r>
    <phoneticPr fontId="5"/>
  </si>
  <si>
    <t>Solv.</t>
  </si>
  <si>
    <t>dmso</t>
  </si>
  <si>
    <t xml:space="preserve">dmso </t>
  </si>
  <si>
    <t>Probe proton</t>
    <phoneticPr fontId="5"/>
  </si>
  <si>
    <t>Ha</t>
    <phoneticPr fontId="5"/>
  </si>
  <si>
    <t>Sum(1000di)^2</t>
  </si>
  <si>
    <r>
      <t xml:space="preserve"> 3. Obtained </t>
    </r>
    <r>
      <rPr>
        <b/>
        <sz val="12"/>
        <color indexed="10"/>
        <rFont val="Arial"/>
      </rPr>
      <t>K8-10</t>
    </r>
    <r>
      <rPr>
        <b/>
        <sz val="12"/>
        <color indexed="8"/>
        <rFont val="Arial"/>
      </rPr>
      <t xml:space="preserve"> are answers.</t>
    </r>
    <phoneticPr fontId="5"/>
  </si>
  <si>
    <t>Solv.(μL)</t>
  </si>
  <si>
    <r>
      <t>Dd</t>
    </r>
    <r>
      <rPr>
        <vertAlign val="subscript"/>
        <sz val="12"/>
        <rFont val="Arial"/>
      </rPr>
      <t>1h</t>
    </r>
    <phoneticPr fontId="5"/>
  </si>
  <si>
    <t xml:space="preserve"> 4. That's all!</t>
    <phoneticPr fontId="5"/>
  </si>
  <si>
    <t>Purity</t>
  </si>
  <si>
    <t>Conc.(M)</t>
  </si>
  <si>
    <t>SampleNo</t>
    <phoneticPr fontId="5"/>
  </si>
  <si>
    <r>
      <t>Sum of guest soln /μ</t>
    </r>
    <r>
      <rPr>
        <sz val="11"/>
        <rFont val="リュウミンライト−ＫＬ"/>
        <family val="3"/>
        <charset val="128"/>
      </rPr>
      <t>L</t>
    </r>
    <phoneticPr fontId="5"/>
  </si>
  <si>
    <r>
      <t>d</t>
    </r>
    <r>
      <rPr>
        <vertAlign val="subscript"/>
        <sz val="11"/>
        <rFont val="Arial"/>
      </rPr>
      <t>(obs.)Host</t>
    </r>
    <phoneticPr fontId="5"/>
  </si>
  <si>
    <r>
      <t>[H]</t>
    </r>
    <r>
      <rPr>
        <vertAlign val="subscript"/>
        <sz val="11"/>
        <rFont val="Arial"/>
      </rPr>
      <t>0</t>
    </r>
    <r>
      <rPr>
        <sz val="11"/>
        <rFont val="Arial"/>
      </rPr>
      <t xml:space="preserve"> (M)</t>
    </r>
    <phoneticPr fontId="63"/>
  </si>
  <si>
    <r>
      <t>[H]</t>
    </r>
    <r>
      <rPr>
        <vertAlign val="subscript"/>
        <sz val="11"/>
        <rFont val="Arial"/>
      </rPr>
      <t>0</t>
    </r>
    <r>
      <rPr>
        <sz val="11"/>
        <rFont val="Arial"/>
      </rPr>
      <t xml:space="preserve"> (M)</t>
    </r>
    <phoneticPr fontId="63"/>
  </si>
  <si>
    <t>[H]+k[H][G]^2</t>
    <phoneticPr fontId="5"/>
  </si>
  <si>
    <r>
      <t>[G]</t>
    </r>
    <r>
      <rPr>
        <vertAlign val="subscript"/>
        <sz val="11"/>
        <rFont val="Arial"/>
      </rPr>
      <t>0</t>
    </r>
    <r>
      <rPr>
        <sz val="11"/>
        <rFont val="Arial"/>
      </rPr>
      <t xml:space="preserve"> (M)</t>
    </r>
    <phoneticPr fontId="63"/>
  </si>
  <si>
    <r>
      <t>[G]</t>
    </r>
    <r>
      <rPr>
        <vertAlign val="subscript"/>
        <sz val="11"/>
        <rFont val="Arial"/>
      </rPr>
      <t>0</t>
    </r>
    <r>
      <rPr>
        <sz val="11"/>
        <rFont val="Arial"/>
      </rPr>
      <t xml:space="preserve"> (M)</t>
    </r>
    <phoneticPr fontId="63"/>
  </si>
  <si>
    <t>[G]+2k[H][G]^2</t>
    <phoneticPr fontId="5"/>
  </si>
  <si>
    <r>
      <t>[G]</t>
    </r>
    <r>
      <rPr>
        <vertAlign val="subscript"/>
        <sz val="11"/>
        <rFont val="Arial"/>
      </rPr>
      <t>0</t>
    </r>
    <r>
      <rPr>
        <sz val="11"/>
        <rFont val="Arial"/>
      </rPr>
      <t>/[H]</t>
    </r>
    <r>
      <rPr>
        <vertAlign val="subscript"/>
        <sz val="11"/>
        <rFont val="Arial"/>
      </rPr>
      <t>0</t>
    </r>
    <phoneticPr fontId="63"/>
  </si>
  <si>
    <r>
      <t>[G]</t>
    </r>
    <r>
      <rPr>
        <vertAlign val="subscript"/>
        <sz val="11"/>
        <rFont val="Arial"/>
      </rPr>
      <t xml:space="preserve">0 </t>
    </r>
    <r>
      <rPr>
        <sz val="11"/>
        <rFont val="Arial"/>
      </rPr>
      <t>/[H]</t>
    </r>
    <r>
      <rPr>
        <vertAlign val="subscript"/>
        <sz val="11"/>
        <rFont val="Arial"/>
      </rPr>
      <t>0</t>
    </r>
    <phoneticPr fontId="63"/>
  </si>
  <si>
    <t>k</t>
    <phoneticPr fontId="5"/>
  </si>
  <si>
    <t>3rd degree equation</t>
    <phoneticPr fontId="5"/>
  </si>
  <si>
    <r>
      <t>　</t>
    </r>
    <r>
      <rPr>
        <sz val="11"/>
        <rFont val="Arial"/>
      </rPr>
      <t>a</t>
    </r>
    <phoneticPr fontId="5"/>
  </si>
  <si>
    <t>k</t>
    <phoneticPr fontId="5"/>
  </si>
  <si>
    <r>
      <t>2k[H]</t>
    </r>
    <r>
      <rPr>
        <vertAlign val="subscript"/>
        <sz val="11"/>
        <rFont val="Arial"/>
      </rPr>
      <t>0</t>
    </r>
    <r>
      <rPr>
        <sz val="11"/>
        <rFont val="Arial"/>
      </rPr>
      <t>-k[G]</t>
    </r>
    <r>
      <rPr>
        <vertAlign val="subscript"/>
        <sz val="11"/>
        <rFont val="Arial"/>
      </rPr>
      <t>0</t>
    </r>
    <phoneticPr fontId="5"/>
  </si>
  <si>
    <t xml:space="preserve"> coefficients</t>
    <phoneticPr fontId="5"/>
  </si>
  <si>
    <r>
      <t>　</t>
    </r>
    <r>
      <rPr>
        <sz val="11"/>
        <rFont val="Arial"/>
      </rPr>
      <t>b</t>
    </r>
    <phoneticPr fontId="5"/>
  </si>
  <si>
    <r>
      <t>2k[H]</t>
    </r>
    <r>
      <rPr>
        <vertAlign val="subscript"/>
        <sz val="11"/>
        <rFont val="Arial"/>
      </rPr>
      <t>0</t>
    </r>
    <r>
      <rPr>
        <sz val="11"/>
        <rFont val="Arial"/>
      </rPr>
      <t>-k[G]</t>
    </r>
    <r>
      <rPr>
        <vertAlign val="subscript"/>
        <sz val="11"/>
        <rFont val="Arial"/>
      </rPr>
      <t>0</t>
    </r>
    <phoneticPr fontId="5"/>
  </si>
  <si>
    <t>ax3+bx2+cx+d=0</t>
  </si>
  <si>
    <r>
      <t>　</t>
    </r>
    <r>
      <rPr>
        <sz val="11"/>
        <rFont val="Arial"/>
      </rPr>
      <t>c</t>
    </r>
    <phoneticPr fontId="5"/>
  </si>
  <si>
    <r>
      <t>-[G]</t>
    </r>
    <r>
      <rPr>
        <vertAlign val="subscript"/>
        <sz val="11"/>
        <rFont val="Arial"/>
      </rPr>
      <t>0</t>
    </r>
    <phoneticPr fontId="5"/>
  </si>
  <si>
    <r>
      <t>　</t>
    </r>
    <r>
      <rPr>
        <sz val="11"/>
        <rFont val="Arial"/>
      </rPr>
      <t>d</t>
    </r>
    <phoneticPr fontId="5"/>
  </si>
  <si>
    <r>
      <t>-[G]</t>
    </r>
    <r>
      <rPr>
        <vertAlign val="subscript"/>
        <sz val="11"/>
        <rFont val="Arial"/>
      </rPr>
      <t>0</t>
    </r>
    <phoneticPr fontId="5"/>
  </si>
  <si>
    <t>1-[G]</t>
  </si>
  <si>
    <t>3rd degree equation</t>
    <phoneticPr fontId="5"/>
  </si>
  <si>
    <t>1-[G]</t>
    <phoneticPr fontId="5"/>
  </si>
  <si>
    <t>X3X1</t>
    <phoneticPr fontId="5"/>
  </si>
  <si>
    <t>2-[G]</t>
  </si>
  <si>
    <t>solutions</t>
    <phoneticPr fontId="5"/>
  </si>
  <si>
    <t>2-[G]</t>
    <phoneticPr fontId="5"/>
  </si>
  <si>
    <t>X3X2</t>
    <phoneticPr fontId="5"/>
  </si>
  <si>
    <t>3-[G]</t>
  </si>
  <si>
    <t>(three candidates)</t>
    <phoneticPr fontId="5"/>
  </si>
  <si>
    <t>3-[G]</t>
    <phoneticPr fontId="5"/>
  </si>
  <si>
    <t>X3X3</t>
    <phoneticPr fontId="5"/>
  </si>
  <si>
    <t>Use X3X1(1-[G])   [C]</t>
    <phoneticPr fontId="63"/>
  </si>
  <si>
    <t>[GHG]</t>
    <phoneticPr fontId="5"/>
  </si>
  <si>
    <t>k[H][G]^2</t>
    <phoneticPr fontId="5"/>
  </si>
  <si>
    <t>[H]</t>
    <phoneticPr fontId="5"/>
  </si>
  <si>
    <t>[H]</t>
    <phoneticPr fontId="5"/>
  </si>
  <si>
    <r>
      <t>[H]</t>
    </r>
    <r>
      <rPr>
        <vertAlign val="subscript"/>
        <sz val="11"/>
        <rFont val="Arial"/>
      </rPr>
      <t>0</t>
    </r>
    <r>
      <rPr>
        <sz val="11"/>
        <rFont val="Arial"/>
      </rPr>
      <t>/(1+k[G]^2)</t>
    </r>
    <phoneticPr fontId="5"/>
  </si>
  <si>
    <r>
      <t>δ</t>
    </r>
    <r>
      <rPr>
        <sz val="11"/>
        <rFont val="ＭＳ Ｐ明朝"/>
        <family val="1"/>
        <charset val="128"/>
      </rPr>
      <t>ｈ</t>
    </r>
    <r>
      <rPr>
        <vertAlign val="subscript"/>
        <sz val="11"/>
        <rFont val="Arial"/>
      </rPr>
      <t>(calcd.)</t>
    </r>
    <phoneticPr fontId="5"/>
  </si>
  <si>
    <r>
      <t>δ</t>
    </r>
    <r>
      <rPr>
        <sz val="11"/>
        <rFont val="ＭＳ Ｐ明朝"/>
        <family val="1"/>
        <charset val="128"/>
      </rPr>
      <t>ｈ</t>
    </r>
    <r>
      <rPr>
        <vertAlign val="subscript"/>
        <sz val="11"/>
        <rFont val="Arial"/>
      </rPr>
      <t>(calcd.)</t>
    </r>
    <phoneticPr fontId="5"/>
  </si>
  <si>
    <r>
      <t>(δh[H]+δghg[GHG])/]H]</t>
    </r>
    <r>
      <rPr>
        <vertAlign val="subscript"/>
        <sz val="11"/>
        <rFont val="Arial"/>
      </rPr>
      <t>0</t>
    </r>
    <phoneticPr fontId="5"/>
  </si>
  <si>
    <r>
      <t>δ</t>
    </r>
    <r>
      <rPr>
        <sz val="11"/>
        <rFont val="ＭＳ Ｐ明朝"/>
        <family val="1"/>
        <charset val="128"/>
      </rPr>
      <t>ｈ</t>
    </r>
    <r>
      <rPr>
        <vertAlign val="subscript"/>
        <sz val="11"/>
        <rFont val="Arial"/>
      </rPr>
      <t>(obs.)</t>
    </r>
    <phoneticPr fontId="5"/>
  </si>
  <si>
    <r>
      <t>δ</t>
    </r>
    <r>
      <rPr>
        <sz val="11"/>
        <rFont val="ＭＳ Ｐ明朝"/>
        <family val="1"/>
        <charset val="128"/>
      </rPr>
      <t>ｈ</t>
    </r>
    <r>
      <rPr>
        <vertAlign val="subscript"/>
        <sz val="11"/>
        <rFont val="Arial"/>
      </rPr>
      <t>(obs.)</t>
    </r>
    <phoneticPr fontId="5"/>
  </si>
  <si>
    <r>
      <t>Δδ</t>
    </r>
    <r>
      <rPr>
        <sz val="11"/>
        <rFont val="ＭＳ Ｐ明朝"/>
        <family val="1"/>
        <charset val="128"/>
      </rPr>
      <t>ｈ</t>
    </r>
    <r>
      <rPr>
        <vertAlign val="subscript"/>
        <sz val="11"/>
        <rFont val="Arial"/>
      </rPr>
      <t>(obs.)</t>
    </r>
    <phoneticPr fontId="5"/>
  </si>
  <si>
    <r>
      <t>Δδ</t>
    </r>
    <r>
      <rPr>
        <sz val="11"/>
        <rFont val="ＭＳ Ｐ明朝"/>
        <family val="1"/>
        <charset val="128"/>
      </rPr>
      <t>ｈ</t>
    </r>
    <r>
      <rPr>
        <vertAlign val="subscript"/>
        <sz val="11"/>
        <rFont val="Arial"/>
      </rPr>
      <t>(obs.)</t>
    </r>
    <phoneticPr fontId="5"/>
  </si>
  <si>
    <r>
      <t>{</t>
    </r>
    <r>
      <rPr>
        <sz val="11"/>
        <rFont val="Symbol"/>
      </rPr>
      <t>d</t>
    </r>
    <r>
      <rPr>
        <sz val="11"/>
        <rFont val="Arial"/>
      </rPr>
      <t>h(obs)-</t>
    </r>
    <r>
      <rPr>
        <sz val="11"/>
        <rFont val="Symbol"/>
      </rPr>
      <t>d</t>
    </r>
    <r>
      <rPr>
        <sz val="11"/>
        <rFont val="Arial"/>
      </rPr>
      <t>h(free)}</t>
    </r>
    <phoneticPr fontId="5"/>
  </si>
  <si>
    <t>1000di</t>
  </si>
  <si>
    <r>
      <t>{</t>
    </r>
    <r>
      <rPr>
        <sz val="11"/>
        <rFont val="Symbol"/>
      </rPr>
      <t>d</t>
    </r>
    <r>
      <rPr>
        <sz val="11"/>
        <rFont val="Arial"/>
      </rPr>
      <t xml:space="preserve">h(obs)- </t>
    </r>
    <r>
      <rPr>
        <sz val="11"/>
        <rFont val="Symbol"/>
      </rPr>
      <t>d</t>
    </r>
    <r>
      <rPr>
        <sz val="11"/>
        <rFont val="Arial"/>
      </rPr>
      <t>h(calct)}×1000</t>
    </r>
    <phoneticPr fontId="5"/>
  </si>
  <si>
    <t>(1000di)^2</t>
    <phoneticPr fontId="5"/>
  </si>
  <si>
    <t>(1000di)^2</t>
    <phoneticPr fontId="5"/>
  </si>
  <si>
    <t>For Graph</t>
    <phoneticPr fontId="5"/>
  </si>
  <si>
    <t>X Axis</t>
    <phoneticPr fontId="5"/>
  </si>
  <si>
    <t>Calcd. (calcd y's)</t>
    <phoneticPr fontId="5"/>
  </si>
  <si>
    <r>
      <t>d</t>
    </r>
    <r>
      <rPr>
        <vertAlign val="subscript"/>
        <sz val="11"/>
        <rFont val="Arial"/>
      </rPr>
      <t>h(calc.)</t>
    </r>
    <phoneticPr fontId="5"/>
  </si>
  <si>
    <t>Ycalc</t>
    <phoneticPr fontId="5"/>
  </si>
  <si>
    <t>Obs. (known y's)</t>
    <phoneticPr fontId="5"/>
  </si>
  <si>
    <r>
      <t>d</t>
    </r>
    <r>
      <rPr>
        <vertAlign val="subscript"/>
        <sz val="11"/>
        <rFont val="Arial"/>
      </rPr>
      <t>h(obs.)</t>
    </r>
    <phoneticPr fontId="5"/>
  </si>
  <si>
    <t>Yobs</t>
    <phoneticPr fontId="5"/>
  </si>
  <si>
    <t>Guest Distribution</t>
    <phoneticPr fontId="5"/>
  </si>
  <si>
    <r>
      <t>[G]/[G]</t>
    </r>
    <r>
      <rPr>
        <vertAlign val="subscript"/>
        <sz val="11"/>
        <rFont val="Arial"/>
      </rPr>
      <t>0</t>
    </r>
    <phoneticPr fontId="5"/>
  </si>
  <si>
    <r>
      <t>2[GHG]/[G]</t>
    </r>
    <r>
      <rPr>
        <vertAlign val="subscript"/>
        <sz val="11"/>
        <rFont val="Arial"/>
      </rPr>
      <t>0</t>
    </r>
    <phoneticPr fontId="5"/>
  </si>
  <si>
    <t>Host Distribution</t>
    <phoneticPr fontId="5"/>
  </si>
  <si>
    <r>
      <t>[H]/[H]</t>
    </r>
    <r>
      <rPr>
        <vertAlign val="subscript"/>
        <sz val="11"/>
        <rFont val="Arial"/>
      </rPr>
      <t>0</t>
    </r>
    <phoneticPr fontId="5"/>
  </si>
  <si>
    <r>
      <t>[GHG]/[H]</t>
    </r>
    <r>
      <rPr>
        <vertAlign val="subscript"/>
        <sz val="11"/>
        <rFont val="Arial"/>
      </rPr>
      <t>0</t>
    </r>
    <phoneticPr fontId="5"/>
  </si>
  <si>
    <t>Calculation for 3DEq</t>
    <phoneticPr fontId="63"/>
  </si>
  <si>
    <t>x3+a1x2+a2x+a3=0</t>
  </si>
  <si>
    <t>CalculationArea</t>
    <phoneticPr fontId="5"/>
  </si>
  <si>
    <t>a1</t>
  </si>
  <si>
    <t>Input Area</t>
    <phoneticPr fontId="63"/>
  </si>
  <si>
    <t>a2</t>
  </si>
  <si>
    <t>a3</t>
  </si>
  <si>
    <t>Q</t>
  </si>
  <si>
    <t>R</t>
  </si>
  <si>
    <t>ST-Diiscriminant＆Ｄ&gt;0</t>
  </si>
  <si>
    <t>S</t>
  </si>
  <si>
    <t>T</t>
  </si>
  <si>
    <r>
      <t>R/(-Q</t>
    </r>
    <r>
      <rPr>
        <vertAlign val="superscript"/>
        <sz val="12"/>
        <rFont val="Osaka"/>
        <charset val="128"/>
      </rPr>
      <t>3</t>
    </r>
    <r>
      <rPr>
        <sz val="12"/>
        <color theme="1"/>
        <rFont val="ＭＳ Ｐゴシック"/>
        <family val="2"/>
        <charset val="128"/>
        <scheme val="minor"/>
      </rPr>
      <t>)^0.5</t>
    </r>
  </si>
  <si>
    <r>
      <t>Cos-1{R/(-Q</t>
    </r>
    <r>
      <rPr>
        <vertAlign val="superscript"/>
        <sz val="12"/>
        <rFont val="Osaka"/>
        <charset val="128"/>
      </rPr>
      <t>3</t>
    </r>
    <r>
      <rPr>
        <sz val="12"/>
        <color theme="1"/>
        <rFont val="ＭＳ Ｐゴシック"/>
        <family val="2"/>
        <charset val="128"/>
        <scheme val="minor"/>
      </rPr>
      <t>)^0.5}</t>
    </r>
  </si>
  <si>
    <t>OutputArea</t>
    <phoneticPr fontId="5"/>
  </si>
  <si>
    <t>Solutions</t>
    <phoneticPr fontId="5"/>
  </si>
  <si>
    <t>X3X1</t>
    <phoneticPr fontId="5"/>
  </si>
  <si>
    <t>Solutions</t>
    <phoneticPr fontId="5"/>
  </si>
  <si>
    <t>OutputArea</t>
    <phoneticPr fontId="63"/>
  </si>
  <si>
    <t>X3X2</t>
    <phoneticPr fontId="5"/>
  </si>
  <si>
    <t>X3X3</t>
    <phoneticPr fontId="5"/>
  </si>
  <si>
    <t>Parameters</t>
  </si>
  <si>
    <r>
      <t>K</t>
    </r>
    <r>
      <rPr>
        <i/>
        <vertAlign val="subscript"/>
        <sz val="12"/>
        <rFont val="Arial"/>
      </rPr>
      <t>11</t>
    </r>
    <phoneticPr fontId="5"/>
  </si>
  <si>
    <r>
      <t>K</t>
    </r>
    <r>
      <rPr>
        <i/>
        <vertAlign val="subscript"/>
        <sz val="12"/>
        <rFont val="Arial"/>
      </rPr>
      <t>12</t>
    </r>
    <phoneticPr fontId="5"/>
  </si>
  <si>
    <r>
      <t>d</t>
    </r>
    <r>
      <rPr>
        <vertAlign val="subscript"/>
        <sz val="14"/>
        <rFont val="Arial"/>
      </rPr>
      <t>11g</t>
    </r>
    <phoneticPr fontId="5"/>
  </si>
  <si>
    <r>
      <t>d</t>
    </r>
    <r>
      <rPr>
        <vertAlign val="subscript"/>
        <sz val="14"/>
        <rFont val="Arial"/>
      </rPr>
      <t>12g</t>
    </r>
    <phoneticPr fontId="5"/>
  </si>
  <si>
    <r>
      <t>d</t>
    </r>
    <r>
      <rPr>
        <vertAlign val="subscript"/>
        <sz val="14"/>
        <rFont val="Arial"/>
      </rPr>
      <t>g free</t>
    </r>
    <phoneticPr fontId="5"/>
  </si>
  <si>
    <t>Values</t>
  </si>
  <si>
    <t>SDs</t>
  </si>
  <si>
    <t>R^2, SE(y)</t>
  </si>
  <si>
    <t>Instruction</t>
    <phoneticPr fontId="5"/>
  </si>
  <si>
    <r>
      <t>1</t>
    </r>
    <r>
      <rPr>
        <sz val="12"/>
        <rFont val="Arial"/>
      </rPr>
      <t>H NMR-Condition</t>
    </r>
    <phoneticPr fontId="5"/>
  </si>
  <si>
    <r>
      <t>Regression (</t>
    </r>
    <r>
      <rPr>
        <sz val="12"/>
        <color indexed="10"/>
        <rFont val="Arial"/>
      </rPr>
      <t>coefficients</t>
    </r>
    <r>
      <rPr>
        <sz val="12"/>
        <rFont val="Arial"/>
      </rPr>
      <t>)</t>
    </r>
    <phoneticPr fontId="5"/>
  </si>
  <si>
    <t xml:space="preserve"> 1. Input data into gray cells</t>
    <phoneticPr fontId="5"/>
  </si>
  <si>
    <t>Sample Name</t>
    <phoneticPr fontId="5"/>
  </si>
  <si>
    <t>Host21</t>
    <phoneticPr fontId="5"/>
  </si>
  <si>
    <t>Guest1</t>
    <phoneticPr fontId="5"/>
  </si>
  <si>
    <r>
      <t>Volume (μL</t>
    </r>
    <r>
      <rPr>
        <sz val="12"/>
        <rFont val="リュウミンライト−ＫＬ"/>
        <charset val="128"/>
      </rPr>
      <t>）</t>
    </r>
    <phoneticPr fontId="5"/>
  </si>
  <si>
    <t xml:space="preserve">     include K8-12 as initial values.</t>
    <phoneticPr fontId="5"/>
  </si>
  <si>
    <t>Temp/ºC</t>
    <phoneticPr fontId="5"/>
  </si>
  <si>
    <r>
      <t>K</t>
    </r>
    <r>
      <rPr>
        <i/>
        <vertAlign val="subscript"/>
        <sz val="12"/>
        <rFont val="Arial"/>
      </rPr>
      <t>12</t>
    </r>
    <phoneticPr fontId="5"/>
  </si>
  <si>
    <r>
      <t xml:space="preserve"> 2. Do [SOLVER] to minimize </t>
    </r>
    <r>
      <rPr>
        <b/>
        <sz val="12"/>
        <color indexed="14"/>
        <rFont val="Arial"/>
      </rPr>
      <t>K13</t>
    </r>
    <phoneticPr fontId="5"/>
  </si>
  <si>
    <t>Probe proton</t>
    <phoneticPr fontId="5"/>
  </si>
  <si>
    <r>
      <t>d</t>
    </r>
    <r>
      <rPr>
        <vertAlign val="subscript"/>
        <sz val="14"/>
        <rFont val="Arial"/>
      </rPr>
      <t>11g</t>
    </r>
    <phoneticPr fontId="5"/>
  </si>
  <si>
    <r>
      <t xml:space="preserve">     by changing </t>
    </r>
    <r>
      <rPr>
        <b/>
        <sz val="12"/>
        <color indexed="10"/>
        <rFont val="Arial"/>
      </rPr>
      <t>K8-12</t>
    </r>
    <r>
      <rPr>
        <b/>
        <sz val="12"/>
        <color indexed="18"/>
        <rFont val="Arial"/>
      </rPr>
      <t>.</t>
    </r>
    <phoneticPr fontId="5"/>
  </si>
  <si>
    <t>CDCl3</t>
  </si>
  <si>
    <r>
      <t>d</t>
    </r>
    <r>
      <rPr>
        <vertAlign val="subscript"/>
        <sz val="14"/>
        <rFont val="Arial"/>
      </rPr>
      <t>12g</t>
    </r>
    <phoneticPr fontId="5"/>
  </si>
  <si>
    <r>
      <t xml:space="preserve"> 3. Obtained </t>
    </r>
    <r>
      <rPr>
        <b/>
        <sz val="12"/>
        <color indexed="10"/>
        <rFont val="Arial"/>
      </rPr>
      <t>K8-K12</t>
    </r>
    <r>
      <rPr>
        <b/>
        <sz val="12"/>
        <color indexed="8"/>
        <rFont val="Arial"/>
      </rPr>
      <t xml:space="preserve"> are answers.</t>
    </r>
    <phoneticPr fontId="5"/>
  </si>
  <si>
    <r>
      <t>d</t>
    </r>
    <r>
      <rPr>
        <vertAlign val="subscript"/>
        <sz val="14"/>
        <rFont val="Arial"/>
      </rPr>
      <t>g free</t>
    </r>
    <phoneticPr fontId="5"/>
  </si>
  <si>
    <t xml:space="preserve"> 4. That's all!</t>
    <phoneticPr fontId="5"/>
  </si>
  <si>
    <r>
      <t>Dd</t>
    </r>
    <r>
      <rPr>
        <vertAlign val="subscript"/>
        <sz val="14"/>
        <rFont val="Arial"/>
      </rPr>
      <t>11g</t>
    </r>
    <phoneticPr fontId="5"/>
  </si>
  <si>
    <r>
      <t>Dd</t>
    </r>
    <r>
      <rPr>
        <vertAlign val="subscript"/>
        <sz val="14"/>
        <rFont val="Arial"/>
      </rPr>
      <t>12g</t>
    </r>
    <phoneticPr fontId="5"/>
  </si>
  <si>
    <t>SampleNo</t>
    <phoneticPr fontId="5"/>
  </si>
  <si>
    <t>Sum of guest soln /μL</t>
    <phoneticPr fontId="5"/>
  </si>
  <si>
    <r>
      <t>d</t>
    </r>
    <r>
      <rPr>
        <b/>
        <vertAlign val="subscript"/>
        <sz val="12"/>
        <rFont val="Arial"/>
      </rPr>
      <t>(obs.)Guest</t>
    </r>
    <phoneticPr fontId="5"/>
  </si>
  <si>
    <r>
      <t>[H]</t>
    </r>
    <r>
      <rPr>
        <vertAlign val="subscript"/>
        <sz val="11"/>
        <rFont val="Arial"/>
      </rPr>
      <t>0</t>
    </r>
    <r>
      <rPr>
        <sz val="11"/>
        <rFont val="Arial"/>
      </rPr>
      <t xml:space="preserve"> (M)</t>
    </r>
    <phoneticPr fontId="5"/>
  </si>
  <si>
    <r>
      <t>[H]</t>
    </r>
    <r>
      <rPr>
        <vertAlign val="subscript"/>
        <sz val="10"/>
        <rFont val="Arial"/>
      </rPr>
      <t>0</t>
    </r>
    <r>
      <rPr>
        <sz val="10"/>
        <rFont val="Arial"/>
      </rPr>
      <t xml:space="preserve"> (M)</t>
    </r>
    <phoneticPr fontId="5"/>
  </si>
  <si>
    <r>
      <t>[G]</t>
    </r>
    <r>
      <rPr>
        <vertAlign val="subscript"/>
        <sz val="11"/>
        <rFont val="Arial"/>
      </rPr>
      <t>0</t>
    </r>
    <r>
      <rPr>
        <sz val="11"/>
        <rFont val="Arial"/>
      </rPr>
      <t xml:space="preserve"> (M)</t>
    </r>
    <phoneticPr fontId="5"/>
  </si>
  <si>
    <r>
      <t>[G]</t>
    </r>
    <r>
      <rPr>
        <vertAlign val="subscript"/>
        <sz val="10"/>
        <rFont val="Arial"/>
      </rPr>
      <t>0</t>
    </r>
    <r>
      <rPr>
        <sz val="10"/>
        <rFont val="Arial"/>
      </rPr>
      <t xml:space="preserve"> (M)</t>
    </r>
    <phoneticPr fontId="5"/>
  </si>
  <si>
    <r>
      <t>[G]</t>
    </r>
    <r>
      <rPr>
        <vertAlign val="subscript"/>
        <sz val="11"/>
        <rFont val="Arial"/>
      </rPr>
      <t>0</t>
    </r>
    <r>
      <rPr>
        <sz val="11"/>
        <rFont val="Arial"/>
      </rPr>
      <t>/[H]</t>
    </r>
    <r>
      <rPr>
        <vertAlign val="subscript"/>
        <sz val="11"/>
        <rFont val="Arial"/>
      </rPr>
      <t>0</t>
    </r>
    <phoneticPr fontId="5"/>
  </si>
  <si>
    <r>
      <t>[G]</t>
    </r>
    <r>
      <rPr>
        <vertAlign val="subscript"/>
        <sz val="10"/>
        <rFont val="Arial"/>
      </rPr>
      <t>0</t>
    </r>
    <r>
      <rPr>
        <sz val="10"/>
        <rFont val="Arial"/>
      </rPr>
      <t>/[H]</t>
    </r>
    <r>
      <rPr>
        <vertAlign val="subscript"/>
        <sz val="10"/>
        <rFont val="Arial"/>
      </rPr>
      <t>0</t>
    </r>
    <phoneticPr fontId="5"/>
  </si>
  <si>
    <t xml:space="preserve">３DegEq   </t>
    <phoneticPr fontId="5"/>
  </si>
  <si>
    <t>K11*(2K12[H]0-K12[G]0+1)/K11*K12</t>
    <phoneticPr fontId="5"/>
  </si>
  <si>
    <t xml:space="preserve"> coefficients</t>
    <phoneticPr fontId="5"/>
  </si>
  <si>
    <t>(1-K11*[G]0+K11*[H]0)/K11*K12</t>
    <phoneticPr fontId="5"/>
  </si>
  <si>
    <t>-[G]0/K11/K12</t>
    <phoneticPr fontId="5"/>
  </si>
  <si>
    <t>X3X1([G])</t>
    <phoneticPr fontId="5"/>
  </si>
  <si>
    <t>3rd degree equation solution</t>
    <phoneticPr fontId="5"/>
  </si>
  <si>
    <t>[G]</t>
    <phoneticPr fontId="5"/>
  </si>
  <si>
    <t>X3X1</t>
  </si>
  <si>
    <t>[HG]</t>
  </si>
  <si>
    <t>K11*[H]0*[G]/(1+k11*[G]+k11*K12*[G]^2)</t>
    <phoneticPr fontId="5"/>
  </si>
  <si>
    <t>[GHG]</t>
    <phoneticPr fontId="5"/>
  </si>
  <si>
    <t>[GHG]</t>
    <phoneticPr fontId="5"/>
  </si>
  <si>
    <t>K11K12[H]0[G]^2/(1+K11[G]+K11K12[G]^2)</t>
    <phoneticPr fontId="5"/>
  </si>
  <si>
    <t>K12[HG][G]</t>
    <phoneticPr fontId="5"/>
  </si>
  <si>
    <t>[H]</t>
    <phoneticPr fontId="5"/>
  </si>
  <si>
    <t>[H]</t>
    <phoneticPr fontId="5"/>
  </si>
  <si>
    <t>[HG]/K11//[G]</t>
    <phoneticPr fontId="5"/>
  </si>
  <si>
    <r>
      <t>Dd</t>
    </r>
    <r>
      <rPr>
        <vertAlign val="subscript"/>
        <sz val="11"/>
        <rFont val="リュウミンライト−ＫＬ"/>
        <charset val="128"/>
      </rPr>
      <t>g(calc.)</t>
    </r>
    <phoneticPr fontId="5"/>
  </si>
  <si>
    <r>
      <t>D</t>
    </r>
    <r>
      <rPr>
        <sz val="10"/>
        <rFont val="Symbol"/>
      </rPr>
      <t>d</t>
    </r>
    <r>
      <rPr>
        <vertAlign val="subscript"/>
        <sz val="10"/>
        <rFont val="リュウミンライト−ＫＬ"/>
        <charset val="128"/>
      </rPr>
      <t>g(calc.)</t>
    </r>
    <phoneticPr fontId="5"/>
  </si>
  <si>
    <t>Eq (111)</t>
    <phoneticPr fontId="5"/>
  </si>
  <si>
    <r>
      <t>Dd</t>
    </r>
    <r>
      <rPr>
        <vertAlign val="subscript"/>
        <sz val="11"/>
        <rFont val="リュウミンライト−ＫＬ"/>
        <charset val="128"/>
      </rPr>
      <t>g(obs.)</t>
    </r>
    <phoneticPr fontId="5"/>
  </si>
  <si>
    <r>
      <t>Dd</t>
    </r>
    <r>
      <rPr>
        <vertAlign val="subscript"/>
        <sz val="12"/>
        <rFont val="リュウミンライト−ＫＬ"/>
        <charset val="128"/>
      </rPr>
      <t>g(obs.)</t>
    </r>
    <phoneticPr fontId="5"/>
  </si>
  <si>
    <r>
      <rPr>
        <sz val="12"/>
        <rFont val="Symbol"/>
      </rPr>
      <t>d</t>
    </r>
    <r>
      <rPr>
        <sz val="12"/>
        <rFont val="Times"/>
      </rPr>
      <t>gObs f-</t>
    </r>
    <r>
      <rPr>
        <sz val="12"/>
        <rFont val="Symbol"/>
      </rPr>
      <t>d</t>
    </r>
    <r>
      <rPr>
        <sz val="12"/>
        <rFont val="Times"/>
      </rPr>
      <t>g free</t>
    </r>
    <phoneticPr fontId="5"/>
  </si>
  <si>
    <t>(1000di)^2</t>
  </si>
  <si>
    <r>
      <t>[G]</t>
    </r>
    <r>
      <rPr>
        <vertAlign val="subscript"/>
        <sz val="10"/>
        <rFont val="Arial"/>
      </rPr>
      <t>0</t>
    </r>
    <r>
      <rPr>
        <sz val="10"/>
        <rFont val="Arial"/>
      </rPr>
      <t>/[H]</t>
    </r>
    <r>
      <rPr>
        <vertAlign val="subscript"/>
        <sz val="10"/>
        <rFont val="Arial"/>
      </rPr>
      <t>0</t>
    </r>
    <phoneticPr fontId="5"/>
  </si>
  <si>
    <r>
      <t>Dd</t>
    </r>
    <r>
      <rPr>
        <vertAlign val="subscript"/>
        <sz val="12"/>
        <rFont val="リュウミンライト−ＫＬ"/>
        <charset val="128"/>
      </rPr>
      <t>g(calcd)</t>
    </r>
    <r>
      <rPr>
        <sz val="12"/>
        <rFont val="リュウミンライト−ＫＬ"/>
        <charset val="128"/>
      </rPr>
      <t xml:space="preserve"> (calcd y's)</t>
    </r>
    <phoneticPr fontId="5"/>
  </si>
  <si>
    <r>
      <t>Dd</t>
    </r>
    <r>
      <rPr>
        <vertAlign val="subscript"/>
        <sz val="12"/>
        <rFont val="リュウミンライト−ＫＬ"/>
        <charset val="128"/>
      </rPr>
      <t>g(calcd)</t>
    </r>
    <r>
      <rPr>
        <sz val="12"/>
        <rFont val="リュウミンライト−ＫＬ"/>
        <charset val="128"/>
      </rPr>
      <t xml:space="preserve"> (calcd y's)</t>
    </r>
    <phoneticPr fontId="5"/>
  </si>
  <si>
    <r>
      <t>Dd</t>
    </r>
    <r>
      <rPr>
        <vertAlign val="subscript"/>
        <sz val="12"/>
        <rFont val="リュウミンライト−ＫＬ"/>
        <charset val="128"/>
      </rPr>
      <t xml:space="preserve">g(obs.) </t>
    </r>
    <r>
      <rPr>
        <sz val="12"/>
        <rFont val="リュウミンライト−ＫＬ"/>
        <charset val="128"/>
      </rPr>
      <t xml:space="preserve"> (known y's)</t>
    </r>
    <phoneticPr fontId="5"/>
  </si>
  <si>
    <r>
      <t>Dd</t>
    </r>
    <r>
      <rPr>
        <vertAlign val="subscript"/>
        <sz val="12"/>
        <rFont val="リュウミンライト−ＫＬ"/>
        <charset val="128"/>
      </rPr>
      <t xml:space="preserve">g(obs.) </t>
    </r>
    <r>
      <rPr>
        <sz val="12"/>
        <rFont val="リュウミンライト−ＫＬ"/>
        <charset val="128"/>
      </rPr>
      <t xml:space="preserve"> (known y's)</t>
    </r>
    <phoneticPr fontId="5"/>
  </si>
  <si>
    <r>
      <t>Guest Distribution   [G]/[G]</t>
    </r>
    <r>
      <rPr>
        <vertAlign val="subscript"/>
        <sz val="12"/>
        <rFont val="Arial"/>
      </rPr>
      <t>0</t>
    </r>
    <phoneticPr fontId="5"/>
  </si>
  <si>
    <r>
      <t>[G]/[G]</t>
    </r>
    <r>
      <rPr>
        <vertAlign val="subscript"/>
        <sz val="10"/>
        <rFont val="Arial"/>
      </rPr>
      <t>0</t>
    </r>
    <phoneticPr fontId="5"/>
  </si>
  <si>
    <r>
      <t>[HG]/[G]</t>
    </r>
    <r>
      <rPr>
        <vertAlign val="subscript"/>
        <sz val="12"/>
        <rFont val="Arial"/>
      </rPr>
      <t>0</t>
    </r>
  </si>
  <si>
    <r>
      <t>[HG]/[G]</t>
    </r>
    <r>
      <rPr>
        <vertAlign val="subscript"/>
        <sz val="10"/>
        <rFont val="Arial"/>
      </rPr>
      <t>0</t>
    </r>
    <phoneticPr fontId="5"/>
  </si>
  <si>
    <r>
      <t>2[GHG]/[G]</t>
    </r>
    <r>
      <rPr>
        <vertAlign val="subscript"/>
        <sz val="12"/>
        <rFont val="Arial"/>
      </rPr>
      <t>0</t>
    </r>
    <phoneticPr fontId="5"/>
  </si>
  <si>
    <r>
      <t>2[GHG]/[G]</t>
    </r>
    <r>
      <rPr>
        <vertAlign val="subscript"/>
        <sz val="10"/>
        <rFont val="Arial"/>
      </rPr>
      <t>0</t>
    </r>
    <phoneticPr fontId="5"/>
  </si>
  <si>
    <r>
      <t>Host distribution     [H]/[H]</t>
    </r>
    <r>
      <rPr>
        <vertAlign val="subscript"/>
        <sz val="12"/>
        <rFont val="Arial"/>
      </rPr>
      <t>0</t>
    </r>
    <phoneticPr fontId="5"/>
  </si>
  <si>
    <t>Host Distribution</t>
    <phoneticPr fontId="5"/>
  </si>
  <si>
    <r>
      <t>[H]/[H]</t>
    </r>
    <r>
      <rPr>
        <vertAlign val="subscript"/>
        <sz val="10"/>
        <rFont val="Arial"/>
      </rPr>
      <t>0</t>
    </r>
    <phoneticPr fontId="5"/>
  </si>
  <si>
    <r>
      <t>[HG]/[H]</t>
    </r>
    <r>
      <rPr>
        <vertAlign val="subscript"/>
        <sz val="12"/>
        <rFont val="Arial"/>
      </rPr>
      <t>0</t>
    </r>
    <phoneticPr fontId="5"/>
  </si>
  <si>
    <r>
      <t>[HG]/[H]</t>
    </r>
    <r>
      <rPr>
        <vertAlign val="subscript"/>
        <sz val="10"/>
        <rFont val="Arial"/>
      </rPr>
      <t>0</t>
    </r>
    <phoneticPr fontId="5"/>
  </si>
  <si>
    <r>
      <t>[GHG]/[H]</t>
    </r>
    <r>
      <rPr>
        <vertAlign val="subscript"/>
        <sz val="12"/>
        <rFont val="Arial"/>
      </rPr>
      <t>0</t>
    </r>
    <phoneticPr fontId="5"/>
  </si>
  <si>
    <r>
      <t>[GHG]/[H]</t>
    </r>
    <r>
      <rPr>
        <vertAlign val="subscript"/>
        <sz val="10"/>
        <rFont val="Arial"/>
      </rPr>
      <t>0</t>
    </r>
    <phoneticPr fontId="5"/>
  </si>
  <si>
    <t>Calculation for 3DEq</t>
    <phoneticPr fontId="63"/>
  </si>
  <si>
    <t>CalculationArea</t>
    <phoneticPr fontId="5"/>
  </si>
  <si>
    <t>Input Area</t>
    <phoneticPr fontId="63"/>
  </si>
  <si>
    <t>OutputArea</t>
    <phoneticPr fontId="5"/>
  </si>
  <si>
    <t>Solutions</t>
    <phoneticPr fontId="5"/>
  </si>
  <si>
    <t>X3X1</t>
    <phoneticPr fontId="5"/>
  </si>
  <si>
    <t>OutputArea</t>
    <phoneticPr fontId="63"/>
  </si>
  <si>
    <t>X3X2</t>
    <phoneticPr fontId="5"/>
  </si>
  <si>
    <t>X3X3</t>
    <phoneticPr fontId="5"/>
  </si>
  <si>
    <r>
      <t xml:space="preserve">(a) Shibata, Y.; Inouye, T.; Nakatsuka, Y., Spectroscopic method for the detection of the formation of complex salts in dilute solutions. </t>
    </r>
    <r>
      <rPr>
        <i/>
        <sz val="12"/>
        <color rgb="FF000000"/>
        <rFont val="Times New Roman"/>
      </rPr>
      <t xml:space="preserve">Nippon Kagaku Kaishi (1921-47) </t>
    </r>
    <r>
      <rPr>
        <b/>
        <sz val="12"/>
        <color rgb="FF000000"/>
        <rFont val="Times New Roman"/>
      </rPr>
      <t>1921</t>
    </r>
    <r>
      <rPr>
        <sz val="12"/>
        <color rgb="FF000000"/>
        <rFont val="Times New Roman"/>
      </rPr>
      <t xml:space="preserve">, </t>
    </r>
    <r>
      <rPr>
        <i/>
        <sz val="12"/>
        <color rgb="FF000000"/>
        <rFont val="Times New Roman"/>
      </rPr>
      <t>42</t>
    </r>
    <r>
      <rPr>
        <sz val="12"/>
        <color rgb="FF000000"/>
        <rFont val="Times New Roman"/>
      </rPr>
      <t xml:space="preserve">, 983-1005; (b) Job, P., A spectrographic study of the formation of mercuric complexes. </t>
    </r>
    <r>
      <rPr>
        <i/>
        <sz val="12"/>
        <color rgb="FF000000"/>
        <rFont val="Times New Roman"/>
      </rPr>
      <t xml:space="preserve">Comptes Rendus Hebdomadaires Des Seances De L Academie Des Sciences </t>
    </r>
    <r>
      <rPr>
        <b/>
        <sz val="12"/>
        <color rgb="FF000000"/>
        <rFont val="Times New Roman"/>
      </rPr>
      <t>1925</t>
    </r>
    <r>
      <rPr>
        <sz val="12"/>
        <color rgb="FF000000"/>
        <rFont val="Times New Roman"/>
      </rPr>
      <t xml:space="preserve">, </t>
    </r>
    <r>
      <rPr>
        <i/>
        <sz val="12"/>
        <color rgb="FF000000"/>
        <rFont val="Times New Roman"/>
      </rPr>
      <t>180</t>
    </r>
    <r>
      <rPr>
        <sz val="12"/>
        <color rgb="FF000000"/>
        <rFont val="Times New Roman"/>
      </rPr>
      <t xml:space="preserve">, 1932-1934; (c) Job, P., A spectrographical study of complex iodocadmium. </t>
    </r>
    <r>
      <rPr>
        <i/>
        <sz val="12"/>
        <color rgb="FF000000"/>
        <rFont val="Times New Roman"/>
      </rPr>
      <t xml:space="preserve">Comptes Rendus Hebdomadaires Des Seances De L Academie Des Sciences </t>
    </r>
    <r>
      <rPr>
        <b/>
        <sz val="12"/>
        <color rgb="FF000000"/>
        <rFont val="Times New Roman"/>
      </rPr>
      <t>1925</t>
    </r>
    <r>
      <rPr>
        <sz val="12"/>
        <color rgb="FF000000"/>
        <rFont val="Times New Roman"/>
      </rPr>
      <t xml:space="preserve">, </t>
    </r>
    <r>
      <rPr>
        <i/>
        <sz val="12"/>
        <color rgb="FF000000"/>
        <rFont val="Times New Roman"/>
      </rPr>
      <t>180</t>
    </r>
    <r>
      <rPr>
        <sz val="12"/>
        <color rgb="FF000000"/>
        <rFont val="Times New Roman"/>
      </rPr>
      <t xml:space="preserve">, 1108-1110; (d) Job, P., Studies on the formation of complex minerals in solution and on their stability. </t>
    </r>
    <r>
      <rPr>
        <i/>
        <sz val="12"/>
        <color rgb="FF000000"/>
        <rFont val="Times New Roman"/>
      </rPr>
      <t xml:space="preserve">Annales De Chimie France </t>
    </r>
    <r>
      <rPr>
        <b/>
        <sz val="12"/>
        <color rgb="FF000000"/>
        <rFont val="Times New Roman"/>
      </rPr>
      <t>1928</t>
    </r>
    <r>
      <rPr>
        <sz val="12"/>
        <color rgb="FF000000"/>
        <rFont val="Times New Roman"/>
      </rPr>
      <t xml:space="preserve">, </t>
    </r>
    <r>
      <rPr>
        <i/>
        <sz val="12"/>
        <color rgb="FF000000"/>
        <rFont val="Times New Roman"/>
      </rPr>
      <t>9</t>
    </r>
    <r>
      <rPr>
        <sz val="12"/>
        <color rgb="FF000000"/>
        <rFont val="Times New Roman"/>
      </rPr>
      <t xml:space="preserve">, 113-203; (e) Tsuchida, R., A spectrographic method for the study of unstable compounds in equilibrium. </t>
    </r>
    <r>
      <rPr>
        <i/>
        <sz val="12"/>
        <color rgb="FF000000"/>
        <rFont val="Times New Roman"/>
      </rPr>
      <t xml:space="preserve">Bull. Chem. Soc. Jpn. </t>
    </r>
    <r>
      <rPr>
        <b/>
        <sz val="12"/>
        <color rgb="FF000000"/>
        <rFont val="Times New Roman"/>
      </rPr>
      <t>1935</t>
    </r>
    <r>
      <rPr>
        <sz val="12"/>
        <color rgb="FF000000"/>
        <rFont val="Times New Roman"/>
      </rPr>
      <t xml:space="preserve">, </t>
    </r>
    <r>
      <rPr>
        <i/>
        <sz val="12"/>
        <color rgb="FF000000"/>
        <rFont val="Times New Roman"/>
      </rPr>
      <t>10</t>
    </r>
    <r>
      <rPr>
        <sz val="12"/>
        <color rgb="FF000000"/>
        <rFont val="Times New Roman"/>
      </rPr>
      <t>, 27-39.</t>
    </r>
  </si>
  <si>
    <t xml:space="preserve">Hirose, K.,  Fundamental Aspects of Host-Guest Complexation. </t>
  </si>
  <si>
    <t xml:space="preserve">Theoretical background and guide for fundamental knowledge are </t>
  </si>
  <si>
    <t xml:space="preserve">described in the publication below. </t>
  </si>
  <si>
    <t>Comments for calculation part</t>
    <phoneticPr fontId="5"/>
  </si>
  <si>
    <t>Please use references listed in above book for the appendices</t>
  </si>
  <si>
    <t>(a) Nagakura, S., Molecular complexes and their spectra .8. The molecular complex between iodine and triethylamine. J. Am. Chem. Soc. 1958, 80 (3), 520-534; (b) Rose, N. J.; Drago, R. S., Molecular addition compounds of iodine .1. An absolute method for the spectroscopic determination of equilibrium constants. J. Am. Chem. Soc. 1959, 81 (23), 6138-6141.</t>
    <phoneticPr fontId="4"/>
  </si>
  <si>
    <t>(a) E. J. BILLO, Excel for Chemists, 2nd Edn, Wiley, New York 2001, pp. 233ff; (b) E. J. BILLO, Excel for Scinetists and Engineers, Wiley, New York 2007, pp. 327</t>
  </si>
  <si>
    <r>
      <t>(a) Hirose, K.</t>
    </r>
    <r>
      <rPr>
        <i/>
        <sz val="12"/>
        <color rgb="FF000000"/>
        <rFont val="Times New Roman"/>
      </rPr>
      <t xml:space="preserve"> </t>
    </r>
    <r>
      <rPr>
        <i/>
        <sz val="12"/>
        <color theme="1"/>
        <rFont val="Times New Roman"/>
      </rPr>
      <t>J. Incl. Phenom</t>
    </r>
    <r>
      <rPr>
        <sz val="12"/>
        <color theme="1"/>
        <rFont val="Times New Roman"/>
      </rPr>
      <t xml:space="preserve">. 2001, 39, 193-209; (b) Hirose, K., Determination of Binding Constants. </t>
    </r>
    <r>
      <rPr>
        <i/>
        <sz val="12"/>
        <color theme="1"/>
        <rFont val="Times New Roman"/>
      </rPr>
      <t>In Analytical Methods in Supramolecular Chemistry</t>
    </r>
    <r>
      <rPr>
        <sz val="12"/>
        <color theme="1"/>
        <rFont val="Times New Roman"/>
      </rPr>
      <t>, Wiley-VCH Verlag GmbH &amp; Co. KGaA: 2007; pp 17-54; (c) Hirose, K., Quantitative Analysis of Binding Properties. In Analytical Methods in Supramolecular Chemistry, Wiley-VCH Verlag GmbH &amp; Co. KGaA: 2012; pp 27-66.</t>
    </r>
    <phoneticPr fontId="4"/>
  </si>
  <si>
    <t xml:space="preserve">  by UV-visible Spectroscopy</t>
    <phoneticPr fontId="5"/>
  </si>
  <si>
    <t>Spreadsheet for 1:2 (=H:G) Complexation</t>
    <phoneticPr fontId="5"/>
  </si>
  <si>
    <r>
      <t xml:space="preserve">by </t>
    </r>
    <r>
      <rPr>
        <b/>
        <vertAlign val="superscript"/>
        <sz val="14"/>
        <rFont val="Arial"/>
      </rPr>
      <t>1</t>
    </r>
    <r>
      <rPr>
        <b/>
        <sz val="14"/>
        <rFont val="Arial"/>
      </rPr>
      <t>H NMR Titration</t>
    </r>
    <phoneticPr fontId="5"/>
  </si>
  <si>
    <t>Spreadsheet for 1:1 and 1:2 (=H:G) Complexation,</t>
    <phoneticPr fontId="5"/>
  </si>
  <si>
    <t>Titration of host with guest</t>
    <phoneticPr fontId="5"/>
  </si>
  <si>
    <r>
      <t xml:space="preserve">observing Guest probe proton by </t>
    </r>
    <r>
      <rPr>
        <b/>
        <vertAlign val="superscript"/>
        <sz val="14"/>
        <rFont val="Arial"/>
      </rPr>
      <t>1</t>
    </r>
    <r>
      <rPr>
        <b/>
        <sz val="14"/>
        <rFont val="Arial"/>
      </rPr>
      <t xml:space="preserve">H NMR </t>
    </r>
    <phoneticPr fontId="5"/>
  </si>
  <si>
    <r>
      <t>Appendix-E</t>
    </r>
    <r>
      <rPr>
        <b/>
        <sz val="12"/>
        <rFont val="ＭＳ Ｐゴシック"/>
        <charset val="128"/>
      </rPr>
      <t>1</t>
    </r>
    <r>
      <rPr>
        <b/>
        <sz val="12"/>
        <rFont val="Helvetica"/>
      </rPr>
      <t xml:space="preserve"> Spreadsheet for continuous variation method</t>
    </r>
    <phoneticPr fontId="5"/>
  </si>
  <si>
    <t>Appendix-E2 Spreadsheet for Rose-Drago Method</t>
    <phoneticPr fontId="5"/>
  </si>
  <si>
    <t>Appendix-E3</t>
    <phoneticPr fontId="5"/>
  </si>
  <si>
    <t>Appendix-E4</t>
    <phoneticPr fontId="5"/>
  </si>
  <si>
    <t>URL:http://hdl.handle.net/11094/39419</t>
    <phoneticPr fontId="4"/>
  </si>
  <si>
    <t>URL:http://hdl.handle.net/11094/39419</t>
    <phoneticPr fontId="4"/>
  </si>
  <si>
    <t>In Synergy in Supramolecular Chemistry, CRC press: 2014; pp 261-300.</t>
    <phoneticPr fontId="4"/>
  </si>
  <si>
    <t>In Synergy in Supramolecular Chemistry, CRC press: 2014; pp 261-300.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</si>
</sst>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0.00&quot; mg&quot;"/>
    <numFmt numFmtId="177" formatCode="0&quot; nm&quot;"/>
    <numFmt numFmtId="178" formatCode="0.000"/>
    <numFmt numFmtId="179" formatCode="0.0&quot; ml&quot;"/>
    <numFmt numFmtId="180" formatCode="0.0000"/>
    <numFmt numFmtId="181" formatCode="0.00&quot; ml&quot;"/>
    <numFmt numFmtId="182" formatCode="0.0"/>
    <numFmt numFmtId="183" formatCode="0.0E+00"/>
    <numFmt numFmtId="184" formatCode="0.00000E+00"/>
    <numFmt numFmtId="185" formatCode="&quot;K=&quot;0.0"/>
    <numFmt numFmtId="186" formatCode="&quot;±&quot;0.0"/>
    <numFmt numFmtId="187" formatCode="&quot;±&quot;0"/>
    <numFmt numFmtId="188" formatCode="0.00000"/>
    <numFmt numFmtId="189" formatCode="0.000000E+0"/>
    <numFmt numFmtId="190" formatCode="0.0%"/>
    <numFmt numFmtId="191" formatCode="0.000000"/>
    <numFmt numFmtId="192" formatCode="0.00E+0"/>
    <numFmt numFmtId="193" formatCode="0.000E+0"/>
  </numFmts>
  <fonts count="100" x14ac:knownFonts="1">
    <font>
      <sz val="12"/>
      <color theme="1"/>
      <name val="ＭＳ Ｐゴシック"/>
      <family val="2"/>
      <charset val="128"/>
      <scheme val="minor"/>
    </font>
    <font>
      <sz val="12"/>
      <name val="Osaka"/>
      <charset val="128"/>
    </font>
    <font>
      <b/>
      <sz val="12"/>
      <name val="Helvetica"/>
    </font>
    <font>
      <b/>
      <sz val="12"/>
      <name val="ＭＳ Ｐゴシック"/>
      <charset val="128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b/>
      <sz val="12"/>
      <name val="Osaka"/>
      <charset val="128"/>
    </font>
    <font>
      <sz val="12"/>
      <color indexed="12"/>
      <name val="Osaka"/>
      <charset val="128"/>
    </font>
    <font>
      <sz val="12"/>
      <name val="Symbol"/>
    </font>
    <font>
      <sz val="12"/>
      <name val="Times"/>
    </font>
    <font>
      <sz val="12"/>
      <color indexed="10"/>
      <name val="Osaka"/>
      <charset val="128"/>
    </font>
    <font>
      <b/>
      <i/>
      <sz val="12"/>
      <name val="Osaka"/>
      <charset val="128"/>
    </font>
    <font>
      <i/>
      <sz val="18"/>
      <name val="Symbol"/>
    </font>
    <font>
      <i/>
      <sz val="9"/>
      <name val="Osaka"/>
      <charset val="128"/>
    </font>
    <font>
      <i/>
      <sz val="12"/>
      <name val="Times"/>
    </font>
    <font>
      <i/>
      <sz val="12"/>
      <name val="Osaka"/>
      <charset val="128"/>
    </font>
    <font>
      <sz val="12"/>
      <color indexed="61"/>
      <name val="Osaka"/>
      <charset val="128"/>
    </font>
    <font>
      <sz val="12"/>
      <color indexed="56"/>
      <name val="Osaka"/>
      <charset val="128"/>
    </font>
    <font>
      <i/>
      <sz val="12"/>
      <color indexed="56"/>
      <name val="Osaka"/>
      <family val="3"/>
      <charset val="128"/>
    </font>
    <font>
      <i/>
      <sz val="12"/>
      <color indexed="10"/>
      <name val="Osaka"/>
      <family val="3"/>
      <charset val="128"/>
    </font>
    <font>
      <sz val="14"/>
      <name val="Helvetica"/>
    </font>
    <font>
      <sz val="14"/>
      <name val="Osaka"/>
      <charset val="128"/>
    </font>
    <font>
      <i/>
      <vertAlign val="subscript"/>
      <sz val="12"/>
      <name val="Times"/>
    </font>
    <font>
      <sz val="14"/>
      <name val="Times"/>
    </font>
    <font>
      <i/>
      <sz val="12"/>
      <name val="Symbol"/>
    </font>
    <font>
      <i/>
      <sz val="8"/>
      <name val="Times"/>
    </font>
    <font>
      <sz val="14"/>
      <color indexed="8"/>
      <name val="Times"/>
    </font>
    <font>
      <sz val="9"/>
      <name val="Times"/>
    </font>
    <font>
      <i/>
      <sz val="14"/>
      <name val="Osaka"/>
      <charset val="128"/>
    </font>
    <font>
      <sz val="10"/>
      <name val="Times"/>
    </font>
    <font>
      <sz val="14"/>
      <name val="Symbol"/>
    </font>
    <font>
      <i/>
      <sz val="10"/>
      <name val="Times"/>
    </font>
    <font>
      <sz val="12"/>
      <color indexed="10"/>
      <name val="Times"/>
    </font>
    <font>
      <vertAlign val="subscript"/>
      <sz val="12"/>
      <name val="Times"/>
    </font>
    <font>
      <sz val="12"/>
      <name val="Arial"/>
    </font>
    <font>
      <b/>
      <sz val="14"/>
      <name val="Arial"/>
    </font>
    <font>
      <sz val="12"/>
      <color indexed="12"/>
      <name val="Arial"/>
    </font>
    <font>
      <sz val="9"/>
      <name val="Osaka"/>
      <charset val="128"/>
    </font>
    <font>
      <sz val="12"/>
      <name val="ＭＳ Ｐ明朝"/>
      <family val="3"/>
      <charset val="128"/>
    </font>
    <font>
      <vertAlign val="subscript"/>
      <sz val="12"/>
      <name val="Arial"/>
    </font>
    <font>
      <i/>
      <sz val="12"/>
      <name val="Arial"/>
    </font>
    <font>
      <i/>
      <vertAlign val="subscript"/>
      <sz val="12"/>
      <name val="Arial"/>
    </font>
    <font>
      <b/>
      <vertAlign val="superscript"/>
      <sz val="14"/>
      <name val="Arial"/>
    </font>
    <font>
      <sz val="14"/>
      <name val="Arial"/>
    </font>
    <font>
      <b/>
      <sz val="12"/>
      <color indexed="12"/>
      <name val="Arial"/>
    </font>
    <font>
      <b/>
      <sz val="12"/>
      <color indexed="12"/>
      <name val="Osaka"/>
      <family val="3"/>
      <charset val="128"/>
    </font>
    <font>
      <vertAlign val="superscript"/>
      <sz val="12"/>
      <name val="Arial"/>
    </font>
    <font>
      <b/>
      <sz val="12"/>
      <name val="Arial"/>
    </font>
    <font>
      <sz val="12"/>
      <name val="リュウミンライト−ＫＬ"/>
      <charset val="128"/>
    </font>
    <font>
      <sz val="12"/>
      <color indexed="10"/>
      <name val="Arial"/>
    </font>
    <font>
      <b/>
      <sz val="12"/>
      <color indexed="18"/>
      <name val="Arial"/>
    </font>
    <font>
      <b/>
      <sz val="12"/>
      <color indexed="14"/>
      <name val="Arial"/>
    </font>
    <font>
      <b/>
      <sz val="12"/>
      <color indexed="10"/>
      <name val="Arial"/>
    </font>
    <font>
      <b/>
      <sz val="12"/>
      <color indexed="8"/>
      <name val="Arial"/>
    </font>
    <font>
      <sz val="10"/>
      <name val="Arial"/>
    </font>
    <font>
      <sz val="11"/>
      <name val="Arial"/>
    </font>
    <font>
      <sz val="11"/>
      <color indexed="12"/>
      <name val="Times"/>
    </font>
    <font>
      <sz val="10"/>
      <color indexed="9"/>
      <name val="Arial"/>
    </font>
    <font>
      <sz val="12"/>
      <color indexed="9"/>
      <name val="Arial"/>
    </font>
    <font>
      <sz val="9"/>
      <name val="Arial"/>
    </font>
    <font>
      <sz val="11"/>
      <name val="リュウミンライト−ＫＬ"/>
      <family val="3"/>
      <charset val="128"/>
    </font>
    <font>
      <sz val="11"/>
      <name val="Symbol"/>
    </font>
    <font>
      <vertAlign val="subscript"/>
      <sz val="11"/>
      <name val="Arial"/>
    </font>
    <font>
      <sz val="6"/>
      <name val="ＭＳ Ｐゴシック"/>
      <charset val="128"/>
    </font>
    <font>
      <sz val="11"/>
      <name val="ＭＳ Ｐ明朝"/>
      <family val="1"/>
      <charset val="128"/>
    </font>
    <font>
      <sz val="11"/>
      <color indexed="8"/>
      <name val="Arial"/>
    </font>
    <font>
      <b/>
      <sz val="11"/>
      <name val="Arial"/>
    </font>
    <font>
      <b/>
      <sz val="11"/>
      <color indexed="8"/>
      <name val="Arial"/>
    </font>
    <font>
      <sz val="11"/>
      <color indexed="10"/>
      <name val="Arial"/>
    </font>
    <font>
      <vertAlign val="superscript"/>
      <sz val="12"/>
      <name val="Osaka"/>
      <charset val="128"/>
    </font>
    <font>
      <vertAlign val="subscript"/>
      <sz val="14"/>
      <name val="Arial"/>
    </font>
    <font>
      <b/>
      <sz val="12"/>
      <name val="リュウミンライト−ＫＬ"/>
      <charset val="128"/>
    </font>
    <font>
      <sz val="10"/>
      <name val="平成明朝"/>
      <charset val="128"/>
    </font>
    <font>
      <b/>
      <sz val="9"/>
      <name val="Arial"/>
    </font>
    <font>
      <b/>
      <sz val="12"/>
      <name val="Symbol"/>
      <family val="1"/>
    </font>
    <font>
      <b/>
      <vertAlign val="subscript"/>
      <sz val="12"/>
      <name val="Arial"/>
    </font>
    <font>
      <sz val="11"/>
      <name val="Times"/>
    </font>
    <font>
      <vertAlign val="subscript"/>
      <sz val="10"/>
      <name val="Arial"/>
    </font>
    <font>
      <sz val="11"/>
      <name val="細明朝体"/>
      <charset val="128"/>
    </font>
    <font>
      <sz val="12"/>
      <name val="ＭＳ Ｐゴシック"/>
      <charset val="128"/>
    </font>
    <font>
      <sz val="12"/>
      <color indexed="8"/>
      <name val="Arial"/>
    </font>
    <font>
      <vertAlign val="subscript"/>
      <sz val="11"/>
      <name val="リュウミンライト−ＫＬ"/>
      <charset val="128"/>
    </font>
    <font>
      <sz val="10"/>
      <name val="Symbol"/>
    </font>
    <font>
      <vertAlign val="subscript"/>
      <sz val="10"/>
      <name val="リュウミンライト−ＫＬ"/>
      <charset val="128"/>
    </font>
    <font>
      <vertAlign val="subscript"/>
      <sz val="12"/>
      <name val="リュウミンライト−ＫＬ"/>
      <charset val="128"/>
    </font>
    <font>
      <sz val="11"/>
      <color indexed="10"/>
      <name val="Osaka"/>
      <charset val="128"/>
    </font>
    <font>
      <b/>
      <sz val="8"/>
      <name val="Arial"/>
    </font>
    <font>
      <sz val="11"/>
      <name val="Osaka"/>
      <charset val="128"/>
    </font>
    <font>
      <sz val="11"/>
      <color rgb="FFFF0000"/>
      <name val="Times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Times New Roman"/>
    </font>
    <font>
      <i/>
      <sz val="12"/>
      <color rgb="FF000000"/>
      <name val="Times New Roman"/>
    </font>
    <font>
      <b/>
      <sz val="12"/>
      <color rgb="FF000000"/>
      <name val="Times New Roman"/>
    </font>
    <font>
      <sz val="11"/>
      <color rgb="FF0000D4"/>
      <name val="Times"/>
    </font>
    <font>
      <sz val="12"/>
      <color rgb="FF993366"/>
      <name val="Arial"/>
    </font>
    <font>
      <sz val="11"/>
      <color rgb="FF993366"/>
      <name val="Times"/>
    </font>
    <font>
      <sz val="12"/>
      <name val="Times New Roman"/>
    </font>
    <font>
      <i/>
      <sz val="12"/>
      <color theme="1"/>
      <name val="Times New Roman"/>
    </font>
    <font>
      <sz val="12"/>
      <color theme="1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thin">
        <color auto="1"/>
      </left>
      <right style="thin">
        <color auto="1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</borders>
  <cellStyleXfs count="3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</cellStyleXfs>
  <cellXfs count="652">
    <xf numFmtId="0" fontId="0" fillId="0" borderId="0" xfId="0"/>
    <xf numFmtId="0" fontId="2" fillId="0" borderId="0" xfId="1" applyFont="1"/>
    <xf numFmtId="0" fontId="1" fillId="0" borderId="0" xfId="1"/>
    <xf numFmtId="0" fontId="6" fillId="0" borderId="0" xfId="1" applyFont="1"/>
    <xf numFmtId="0" fontId="1" fillId="0" borderId="1" xfId="1" applyBorder="1"/>
    <xf numFmtId="0" fontId="1" fillId="2" borderId="2" xfId="1" applyFill="1" applyBorder="1" applyAlignment="1">
      <alignment horizontal="center"/>
    </xf>
    <xf numFmtId="0" fontId="1" fillId="0" borderId="3" xfId="1" applyFill="1" applyBorder="1"/>
    <xf numFmtId="176" fontId="1" fillId="2" borderId="4" xfId="1" applyNumberFormat="1" applyFill="1" applyBorder="1"/>
    <xf numFmtId="0" fontId="7" fillId="0" borderId="5" xfId="1" applyFont="1" applyBorder="1" applyAlignment="1">
      <alignment horizontal="centerContinuous"/>
    </xf>
    <xf numFmtId="0" fontId="7" fillId="0" borderId="6" xfId="1" applyFont="1" applyBorder="1" applyAlignment="1">
      <alignment horizontal="centerContinuous"/>
    </xf>
    <xf numFmtId="0" fontId="1" fillId="0" borderId="7" xfId="1" applyBorder="1"/>
    <xf numFmtId="0" fontId="8" fillId="0" borderId="8" xfId="1" applyFont="1" applyFill="1" applyBorder="1" applyAlignment="1">
      <alignment horizontal="right"/>
    </xf>
    <xf numFmtId="177" fontId="1" fillId="2" borderId="9" xfId="1" applyNumberFormat="1" applyFont="1" applyFill="1" applyBorder="1" applyAlignment="1">
      <alignment horizontal="left"/>
    </xf>
    <xf numFmtId="0" fontId="1" fillId="2" borderId="4" xfId="1" applyFill="1" applyBorder="1"/>
    <xf numFmtId="11" fontId="1" fillId="0" borderId="10" xfId="1" applyNumberFormat="1" applyBorder="1" applyAlignment="1">
      <alignment horizontal="centerContinuous"/>
    </xf>
    <xf numFmtId="0" fontId="1" fillId="0" borderId="11" xfId="1" applyBorder="1" applyAlignment="1">
      <alignment horizontal="left"/>
    </xf>
    <xf numFmtId="0" fontId="1" fillId="0" borderId="12" xfId="1" applyBorder="1"/>
    <xf numFmtId="0" fontId="1" fillId="0" borderId="8" xfId="1" applyBorder="1" applyAlignment="1">
      <alignment horizontal="right"/>
    </xf>
    <xf numFmtId="178" fontId="1" fillId="2" borderId="9" xfId="1" applyNumberFormat="1" applyFill="1" applyBorder="1" applyAlignment="1">
      <alignment horizontal="left"/>
    </xf>
    <xf numFmtId="0" fontId="1" fillId="0" borderId="13" xfId="1" applyFill="1" applyBorder="1"/>
    <xf numFmtId="179" fontId="1" fillId="2" borderId="14" xfId="1" applyNumberFormat="1" applyFill="1" applyBorder="1"/>
    <xf numFmtId="0" fontId="1" fillId="0" borderId="15" xfId="1" applyFill="1" applyBorder="1"/>
    <xf numFmtId="179" fontId="1" fillId="0" borderId="15" xfId="1" applyNumberFormat="1" applyFill="1" applyBorder="1"/>
    <xf numFmtId="11" fontId="1" fillId="0" borderId="0" xfId="1" applyNumberFormat="1" applyBorder="1" applyAlignment="1">
      <alignment horizontal="centerContinuous"/>
    </xf>
    <xf numFmtId="0" fontId="1" fillId="0" borderId="0" xfId="1" applyBorder="1" applyAlignment="1">
      <alignment horizontal="left"/>
    </xf>
    <xf numFmtId="0" fontId="1" fillId="0" borderId="0" xfId="1" applyBorder="1"/>
    <xf numFmtId="180" fontId="1" fillId="0" borderId="0" xfId="1" applyNumberFormat="1" applyFill="1" applyBorder="1" applyAlignment="1">
      <alignment horizontal="left"/>
    </xf>
    <xf numFmtId="179" fontId="1" fillId="0" borderId="0" xfId="1" applyNumberFormat="1" applyFill="1" applyBorder="1"/>
    <xf numFmtId="0" fontId="1" fillId="0" borderId="16" xfId="1" applyBorder="1" applyAlignment="1">
      <alignment horizontal="center"/>
    </xf>
    <xf numFmtId="181" fontId="1" fillId="2" borderId="17" xfId="1" applyNumberFormat="1" applyFill="1" applyBorder="1"/>
    <xf numFmtId="179" fontId="1" fillId="2" borderId="17" xfId="1" applyNumberFormat="1" applyFill="1" applyBorder="1"/>
    <xf numFmtId="0" fontId="1" fillId="0" borderId="3" xfId="1" applyBorder="1"/>
    <xf numFmtId="9" fontId="1" fillId="2" borderId="4" xfId="2" applyFill="1" applyBorder="1"/>
    <xf numFmtId="0" fontId="10" fillId="0" borderId="18" xfId="1" applyFont="1" applyBorder="1" applyAlignment="1">
      <alignment horizontal="centerContinuous"/>
    </xf>
    <xf numFmtId="0" fontId="1" fillId="0" borderId="19" xfId="1" applyBorder="1" applyAlignment="1">
      <alignment horizontal="centerContinuous"/>
    </xf>
    <xf numFmtId="11" fontId="1" fillId="0" borderId="20" xfId="1" applyNumberFormat="1" applyBorder="1" applyAlignment="1">
      <alignment horizontal="centerContinuous"/>
    </xf>
    <xf numFmtId="0" fontId="1" fillId="0" borderId="21" xfId="1" applyBorder="1" applyAlignment="1">
      <alignment horizontal="left"/>
    </xf>
    <xf numFmtId="0" fontId="1" fillId="0" borderId="0" xfId="1" applyFill="1" applyBorder="1"/>
    <xf numFmtId="0" fontId="12" fillId="0" borderId="16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" fillId="0" borderId="22" xfId="1" applyBorder="1"/>
    <xf numFmtId="0" fontId="1" fillId="0" borderId="23" xfId="1" applyBorder="1"/>
    <xf numFmtId="0" fontId="1" fillId="0" borderId="2" xfId="1" applyBorder="1"/>
    <xf numFmtId="182" fontId="1" fillId="0" borderId="17" xfId="1" applyNumberFormat="1" applyFill="1" applyBorder="1"/>
    <xf numFmtId="178" fontId="1" fillId="0" borderId="17" xfId="1" applyNumberFormat="1" applyFill="1" applyBorder="1"/>
    <xf numFmtId="1" fontId="1" fillId="2" borderId="17" xfId="1" applyNumberFormat="1" applyFill="1" applyBorder="1"/>
    <xf numFmtId="11" fontId="1" fillId="0" borderId="17" xfId="1" applyNumberFormat="1" applyBorder="1"/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1" fillId="0" borderId="9" xfId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25" xfId="1" applyBorder="1" applyAlignment="1">
      <alignment horizontal="center"/>
    </xf>
    <xf numFmtId="182" fontId="1" fillId="2" borderId="26" xfId="1" applyNumberFormat="1" applyFill="1" applyBorder="1" applyAlignment="1">
      <alignment horizontal="center"/>
    </xf>
    <xf numFmtId="182" fontId="1" fillId="2" borderId="4" xfId="1" applyNumberFormat="1" applyFill="1" applyBorder="1" applyAlignment="1">
      <alignment horizontal="center"/>
    </xf>
    <xf numFmtId="180" fontId="1" fillId="2" borderId="27" xfId="1" applyNumberFormat="1" applyFill="1" applyBorder="1" applyAlignment="1">
      <alignment horizontal="center"/>
    </xf>
    <xf numFmtId="11" fontId="1" fillId="0" borderId="28" xfId="1" applyNumberFormat="1" applyBorder="1" applyAlignment="1">
      <alignment horizontal="center"/>
    </xf>
    <xf numFmtId="180" fontId="1" fillId="0" borderId="28" xfId="1" applyNumberFormat="1" applyBorder="1" applyAlignment="1">
      <alignment horizontal="center"/>
    </xf>
    <xf numFmtId="180" fontId="1" fillId="0" borderId="16" xfId="1" applyNumberFormat="1" applyBorder="1" applyAlignment="1">
      <alignment horizontal="center"/>
    </xf>
    <xf numFmtId="11" fontId="1" fillId="0" borderId="26" xfId="1" applyNumberFormat="1" applyBorder="1"/>
    <xf numFmtId="180" fontId="1" fillId="0" borderId="26" xfId="1" applyNumberFormat="1" applyBorder="1" applyAlignment="1">
      <alignment horizontal="center"/>
    </xf>
    <xf numFmtId="182" fontId="1" fillId="2" borderId="29" xfId="1" applyNumberFormat="1" applyFill="1" applyBorder="1" applyAlignment="1">
      <alignment horizontal="center"/>
    </xf>
    <xf numFmtId="182" fontId="1" fillId="2" borderId="14" xfId="1" applyNumberFormat="1" applyFill="1" applyBorder="1" applyAlignment="1">
      <alignment horizontal="center"/>
    </xf>
    <xf numFmtId="180" fontId="1" fillId="2" borderId="30" xfId="1" applyNumberFormat="1" applyFill="1" applyBorder="1" applyAlignment="1">
      <alignment horizontal="center"/>
    </xf>
    <xf numFmtId="11" fontId="1" fillId="0" borderId="31" xfId="1" applyNumberFormat="1" applyBorder="1" applyAlignment="1">
      <alignment horizontal="center"/>
    </xf>
    <xf numFmtId="180" fontId="1" fillId="0" borderId="31" xfId="1" applyNumberFormat="1" applyBorder="1" applyAlignment="1">
      <alignment horizontal="center"/>
    </xf>
    <xf numFmtId="180" fontId="1" fillId="0" borderId="17" xfId="1" applyNumberFormat="1" applyBorder="1" applyAlignment="1">
      <alignment horizontal="center"/>
    </xf>
    <xf numFmtId="182" fontId="1" fillId="0" borderId="0" xfId="1" applyNumberFormat="1" applyFill="1" applyBorder="1" applyAlignment="1">
      <alignment horizontal="center"/>
    </xf>
    <xf numFmtId="180" fontId="1" fillId="0" borderId="0" xfId="1" applyNumberFormat="1" applyFill="1" applyBorder="1" applyAlignment="1">
      <alignment horizontal="center"/>
    </xf>
    <xf numFmtId="11" fontId="1" fillId="0" borderId="0" xfId="1" applyNumberFormat="1" applyBorder="1" applyAlignment="1">
      <alignment horizontal="center"/>
    </xf>
    <xf numFmtId="180" fontId="1" fillId="0" borderId="0" xfId="1" applyNumberFormat="1" applyBorder="1" applyAlignment="1">
      <alignment horizontal="center"/>
    </xf>
    <xf numFmtId="11" fontId="1" fillId="0" borderId="0" xfId="1" applyNumberFormat="1" applyBorder="1"/>
    <xf numFmtId="0" fontId="1" fillId="0" borderId="0" xfId="1" applyAlignment="1">
      <alignment horizontal="right"/>
    </xf>
    <xf numFmtId="0" fontId="1" fillId="0" borderId="1" xfId="1" applyBorder="1" applyAlignment="1">
      <alignment horizontal="center"/>
    </xf>
    <xf numFmtId="0" fontId="16" fillId="0" borderId="23" xfId="1" applyFont="1" applyBorder="1" applyAlignment="1">
      <alignment horizontal="center"/>
    </xf>
    <xf numFmtId="0" fontId="17" fillId="0" borderId="23" xfId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1" fillId="0" borderId="0" xfId="1" quotePrefix="1"/>
    <xf numFmtId="2" fontId="16" fillId="0" borderId="0" xfId="1" applyNumberFormat="1" applyFont="1" applyBorder="1" applyAlignment="1">
      <alignment horizontal="center"/>
    </xf>
    <xf numFmtId="180" fontId="17" fillId="0" borderId="0" xfId="1" applyNumberFormat="1" applyFont="1" applyBorder="1" applyAlignment="1">
      <alignment horizontal="center"/>
    </xf>
    <xf numFmtId="180" fontId="10" fillId="0" borderId="4" xfId="1" applyNumberFormat="1" applyFont="1" applyBorder="1" applyAlignment="1">
      <alignment horizontal="center"/>
    </xf>
    <xf numFmtId="11" fontId="1" fillId="0" borderId="30" xfId="1" applyNumberFormat="1" applyBorder="1"/>
    <xf numFmtId="11" fontId="17" fillId="0" borderId="24" xfId="1" applyNumberFormat="1" applyFont="1" applyBorder="1"/>
    <xf numFmtId="11" fontId="17" fillId="0" borderId="27" xfId="1" applyNumberFormat="1" applyFont="1" applyBorder="1"/>
    <xf numFmtId="11" fontId="17" fillId="0" borderId="30" xfId="1" applyNumberFormat="1" applyFont="1" applyBorder="1"/>
    <xf numFmtId="0" fontId="17" fillId="0" borderId="13" xfId="1" applyFont="1" applyBorder="1"/>
    <xf numFmtId="2" fontId="16" fillId="0" borderId="35" xfId="1" applyNumberFormat="1" applyFont="1" applyBorder="1" applyAlignment="1">
      <alignment horizontal="center"/>
    </xf>
    <xf numFmtId="180" fontId="17" fillId="0" borderId="35" xfId="1" applyNumberFormat="1" applyFont="1" applyBorder="1" applyAlignment="1">
      <alignment horizontal="center"/>
    </xf>
    <xf numFmtId="180" fontId="10" fillId="0" borderId="14" xfId="1" applyNumberFormat="1" applyFont="1" applyBorder="1" applyAlignment="1">
      <alignment horizontal="center"/>
    </xf>
    <xf numFmtId="0" fontId="10" fillId="0" borderId="0" xfId="1" applyFont="1" applyBorder="1"/>
    <xf numFmtId="0" fontId="20" fillId="0" borderId="0" xfId="1" applyFont="1"/>
    <xf numFmtId="0" fontId="21" fillId="0" borderId="0" xfId="1" applyFont="1"/>
    <xf numFmtId="0" fontId="21" fillId="0" borderId="0" xfId="1" applyFont="1" applyAlignment="1">
      <alignment horizontal="left"/>
    </xf>
    <xf numFmtId="0" fontId="20" fillId="0" borderId="0" xfId="1" applyFont="1" applyAlignment="1"/>
    <xf numFmtId="0" fontId="9" fillId="0" borderId="0" xfId="1" applyFont="1"/>
    <xf numFmtId="0" fontId="14" fillId="0" borderId="36" xfId="1" applyFont="1" applyBorder="1" applyAlignment="1">
      <alignment horizontal="left"/>
    </xf>
    <xf numFmtId="0" fontId="9" fillId="0" borderId="15" xfId="1" applyFont="1" applyBorder="1" applyAlignment="1">
      <alignment horizontal="centerContinuous"/>
    </xf>
    <xf numFmtId="0" fontId="9" fillId="0" borderId="37" xfId="1" applyFont="1" applyBorder="1" applyAlignment="1">
      <alignment horizontal="centerContinuous"/>
    </xf>
    <xf numFmtId="0" fontId="14" fillId="0" borderId="13" xfId="1" quotePrefix="1" applyFont="1" applyBorder="1" applyAlignment="1">
      <alignment horizontal="left"/>
    </xf>
    <xf numFmtId="0" fontId="9" fillId="0" borderId="35" xfId="1" quotePrefix="1" applyFont="1" applyBorder="1" applyAlignment="1">
      <alignment horizontal="center"/>
    </xf>
    <xf numFmtId="0" fontId="9" fillId="0" borderId="14" xfId="1" quotePrefix="1" applyFont="1" applyBorder="1" applyAlignment="1">
      <alignment horizontal="center"/>
    </xf>
    <xf numFmtId="0" fontId="9" fillId="0" borderId="0" xfId="1" applyFont="1" applyBorder="1"/>
    <xf numFmtId="0" fontId="23" fillId="0" borderId="0" xfId="1" applyFont="1"/>
    <xf numFmtId="0" fontId="14" fillId="0" borderId="38" xfId="1" applyFont="1" applyBorder="1"/>
    <xf numFmtId="0" fontId="14" fillId="0" borderId="0" xfId="1" quotePrefix="1" applyFont="1" applyBorder="1"/>
    <xf numFmtId="0" fontId="9" fillId="0" borderId="28" xfId="1" applyFont="1" applyBorder="1"/>
    <xf numFmtId="183" fontId="9" fillId="0" borderId="0" xfId="1" applyNumberFormat="1" applyFont="1" applyBorder="1"/>
    <xf numFmtId="0" fontId="26" fillId="0" borderId="0" xfId="1" applyFont="1"/>
    <xf numFmtId="0" fontId="14" fillId="0" borderId="12" xfId="1" applyFont="1" applyBorder="1"/>
    <xf numFmtId="0" fontId="14" fillId="0" borderId="39" xfId="1" quotePrefix="1" applyFont="1" applyBorder="1"/>
    <xf numFmtId="0" fontId="9" fillId="0" borderId="31" xfId="1" applyFont="1" applyBorder="1"/>
    <xf numFmtId="0" fontId="14" fillId="0" borderId="40" xfId="1" applyFont="1" applyBorder="1"/>
    <xf numFmtId="0" fontId="9" fillId="0" borderId="41" xfId="1" applyFont="1" applyBorder="1"/>
    <xf numFmtId="0" fontId="15" fillId="0" borderId="32" xfId="1" applyFont="1" applyBorder="1" applyAlignment="1">
      <alignment horizontal="centerContinuous"/>
    </xf>
    <xf numFmtId="0" fontId="9" fillId="0" borderId="34" xfId="1" applyFont="1" applyBorder="1" applyAlignment="1">
      <alignment horizontal="centerContinuous"/>
    </xf>
    <xf numFmtId="184" fontId="9" fillId="0" borderId="36" xfId="1" applyNumberFormat="1" applyFont="1" applyFill="1" applyBorder="1"/>
    <xf numFmtId="0" fontId="9" fillId="2" borderId="37" xfId="1" applyFont="1" applyFill="1" applyBorder="1"/>
    <xf numFmtId="0" fontId="9" fillId="0" borderId="42" xfId="1" applyFont="1" applyBorder="1"/>
    <xf numFmtId="2" fontId="14" fillId="0" borderId="43" xfId="1" applyNumberFormat="1" applyFont="1" applyBorder="1"/>
    <xf numFmtId="0" fontId="14" fillId="0" borderId="43" xfId="1" applyFont="1" applyBorder="1"/>
    <xf numFmtId="0" fontId="14" fillId="0" borderId="44" xfId="1" applyFont="1" applyBorder="1"/>
    <xf numFmtId="0" fontId="14" fillId="0" borderId="45" xfId="1" applyFont="1" applyBorder="1"/>
    <xf numFmtId="0" fontId="14" fillId="0" borderId="46" xfId="1" applyFont="1" applyBorder="1"/>
    <xf numFmtId="184" fontId="9" fillId="0" borderId="3" xfId="1" applyNumberFormat="1" applyFont="1" applyFill="1" applyBorder="1"/>
    <xf numFmtId="184" fontId="9" fillId="2" borderId="4" xfId="1" applyNumberFormat="1" applyFont="1" applyFill="1" applyBorder="1"/>
    <xf numFmtId="0" fontId="9" fillId="0" borderId="47" xfId="1" applyFont="1" applyBorder="1" applyAlignment="1">
      <alignment horizontal="center"/>
    </xf>
    <xf numFmtId="11" fontId="9" fillId="2" borderId="0" xfId="1" applyNumberFormat="1" applyFont="1" applyFill="1" applyBorder="1"/>
    <xf numFmtId="180" fontId="9" fillId="3" borderId="48" xfId="1" applyNumberFormat="1" applyFont="1" applyFill="1" applyBorder="1"/>
    <xf numFmtId="11" fontId="9" fillId="0" borderId="3" xfId="1" applyNumberFormat="1" applyFont="1" applyBorder="1"/>
    <xf numFmtId="11" fontId="9" fillId="0" borderId="0" xfId="1" applyNumberFormat="1" applyFont="1" applyBorder="1"/>
    <xf numFmtId="178" fontId="9" fillId="0" borderId="4" xfId="1" applyNumberFormat="1" applyFont="1" applyFill="1" applyBorder="1"/>
    <xf numFmtId="1" fontId="9" fillId="2" borderId="4" xfId="1" applyNumberFormat="1" applyFont="1" applyFill="1" applyBorder="1"/>
    <xf numFmtId="0" fontId="8" fillId="0" borderId="3" xfId="1" applyFont="1" applyBorder="1"/>
    <xf numFmtId="0" fontId="9" fillId="2" borderId="4" xfId="1" applyFont="1" applyFill="1" applyBorder="1"/>
    <xf numFmtId="0" fontId="9" fillId="0" borderId="0" xfId="1" applyFont="1" applyBorder="1" applyAlignment="1"/>
    <xf numFmtId="0" fontId="8" fillId="0" borderId="13" xfId="1" applyFont="1" applyBorder="1"/>
    <xf numFmtId="0" fontId="9" fillId="2" borderId="14" xfId="1" applyFont="1" applyFill="1" applyBorder="1"/>
    <xf numFmtId="0" fontId="9" fillId="0" borderId="49" xfId="1" applyFont="1" applyBorder="1" applyAlignment="1">
      <alignment horizontal="center"/>
    </xf>
    <xf numFmtId="11" fontId="9" fillId="2" borderId="35" xfId="1" applyNumberFormat="1" applyFont="1" applyFill="1" applyBorder="1"/>
    <xf numFmtId="180" fontId="9" fillId="3" borderId="50" xfId="1" applyNumberFormat="1" applyFont="1" applyFill="1" applyBorder="1"/>
    <xf numFmtId="11" fontId="9" fillId="0" borderId="13" xfId="1" applyNumberFormat="1" applyFont="1" applyBorder="1"/>
    <xf numFmtId="11" fontId="9" fillId="0" borderId="35" xfId="1" applyNumberFormat="1" applyFont="1" applyBorder="1"/>
    <xf numFmtId="178" fontId="9" fillId="0" borderId="14" xfId="1" applyNumberFormat="1" applyFont="1" applyFill="1" applyBorder="1"/>
    <xf numFmtId="0" fontId="21" fillId="0" borderId="0" xfId="1" applyFont="1" applyAlignment="1"/>
    <xf numFmtId="0" fontId="21" fillId="0" borderId="0" xfId="1" applyFont="1" applyBorder="1" applyAlignment="1">
      <alignment horizontal="centerContinuous"/>
    </xf>
    <xf numFmtId="0" fontId="21" fillId="0" borderId="0" xfId="1" applyFont="1" applyBorder="1" applyAlignment="1"/>
    <xf numFmtId="0" fontId="21" fillId="0" borderId="0" xfId="1" applyFont="1" applyBorder="1"/>
    <xf numFmtId="0" fontId="21" fillId="0" borderId="0" xfId="1" applyFont="1" applyAlignment="1">
      <alignment horizontal="centerContinuous"/>
    </xf>
    <xf numFmtId="0" fontId="9" fillId="0" borderId="45" xfId="1" applyFont="1" applyBorder="1"/>
    <xf numFmtId="0" fontId="14" fillId="0" borderId="43" xfId="1" applyFont="1" applyBorder="1" applyAlignment="1">
      <alignment horizontal="center"/>
    </xf>
    <xf numFmtId="0" fontId="14" fillId="0" borderId="46" xfId="1" applyFont="1" applyBorder="1" applyAlignment="1">
      <alignment horizontal="center"/>
    </xf>
    <xf numFmtId="0" fontId="9" fillId="0" borderId="43" xfId="1" applyFont="1" applyBorder="1" applyAlignment="1">
      <alignment horizontal="centerContinuous"/>
    </xf>
    <xf numFmtId="0" fontId="9" fillId="0" borderId="46" xfId="1" applyFont="1" applyBorder="1" applyAlignment="1">
      <alignment horizontal="centerContinuous"/>
    </xf>
    <xf numFmtId="0" fontId="9" fillId="0" borderId="45" xfId="1" applyFont="1" applyBorder="1" applyAlignment="1">
      <alignment horizontal="centerContinuous"/>
    </xf>
    <xf numFmtId="0" fontId="9" fillId="0" borderId="52" xfId="1" applyFont="1" applyBorder="1" applyAlignment="1">
      <alignment horizontal="centerContinuous"/>
    </xf>
    <xf numFmtId="0" fontId="9" fillId="0" borderId="3" xfId="1" applyFont="1" applyBorder="1"/>
    <xf numFmtId="180" fontId="9" fillId="0" borderId="0" xfId="1" applyNumberFormat="1" applyFont="1" applyBorder="1"/>
    <xf numFmtId="11" fontId="9" fillId="0" borderId="4" xfId="1" applyNumberFormat="1" applyFont="1" applyBorder="1"/>
    <xf numFmtId="0" fontId="9" fillId="0" borderId="3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11" fontId="9" fillId="0" borderId="28" xfId="1" applyNumberFormat="1" applyFont="1" applyBorder="1"/>
    <xf numFmtId="11" fontId="9" fillId="0" borderId="53" xfId="1" applyNumberFormat="1" applyFont="1" applyBorder="1"/>
    <xf numFmtId="11" fontId="9" fillId="0" borderId="54" xfId="1" applyNumberFormat="1" applyFont="1" applyBorder="1"/>
    <xf numFmtId="11" fontId="9" fillId="0" borderId="47" xfId="1" applyNumberFormat="1" applyFont="1" applyBorder="1"/>
    <xf numFmtId="11" fontId="9" fillId="0" borderId="38" xfId="1" applyNumberFormat="1" applyFont="1" applyBorder="1"/>
    <xf numFmtId="11" fontId="9" fillId="0" borderId="26" xfId="1" applyNumberFormat="1" applyFont="1" applyBorder="1"/>
    <xf numFmtId="0" fontId="9" fillId="0" borderId="36" xfId="1" applyFont="1" applyBorder="1"/>
    <xf numFmtId="180" fontId="9" fillId="0" borderId="15" xfId="1" applyNumberFormat="1" applyFont="1" applyBorder="1"/>
    <xf numFmtId="11" fontId="9" fillId="0" borderId="15" xfId="1" applyNumberFormat="1" applyFont="1" applyBorder="1"/>
    <xf numFmtId="11" fontId="9" fillId="0" borderId="37" xfId="1" applyNumberFormat="1" applyFont="1" applyBorder="1"/>
    <xf numFmtId="0" fontId="9" fillId="0" borderId="13" xfId="1" applyFont="1" applyBorder="1"/>
    <xf numFmtId="180" fontId="9" fillId="0" borderId="35" xfId="1" applyNumberFormat="1" applyFont="1" applyBorder="1"/>
    <xf numFmtId="11" fontId="9" fillId="0" borderId="14" xfId="1" applyNumberFormat="1" applyFont="1" applyBorder="1"/>
    <xf numFmtId="0" fontId="9" fillId="0" borderId="13" xfId="1" applyFont="1" applyBorder="1" applyAlignment="1">
      <alignment horizontal="center"/>
    </xf>
    <xf numFmtId="0" fontId="9" fillId="0" borderId="55" xfId="1" applyFont="1" applyBorder="1" applyAlignment="1">
      <alignment horizontal="center"/>
    </xf>
    <xf numFmtId="11" fontId="9" fillId="0" borderId="55" xfId="1" applyNumberFormat="1" applyFont="1" applyBorder="1"/>
    <xf numFmtId="11" fontId="9" fillId="0" borderId="49" xfId="1" applyNumberFormat="1" applyFont="1" applyBorder="1"/>
    <xf numFmtId="11" fontId="9" fillId="0" borderId="56" xfId="1" applyNumberFormat="1" applyFont="1" applyBorder="1"/>
    <xf numFmtId="11" fontId="9" fillId="0" borderId="17" xfId="1" applyNumberFormat="1" applyFont="1" applyBorder="1"/>
    <xf numFmtId="0" fontId="14" fillId="0" borderId="16" xfId="1" applyFont="1" applyBorder="1"/>
    <xf numFmtId="0" fontId="14" fillId="0" borderId="7" xfId="1" applyFont="1" applyBorder="1"/>
    <xf numFmtId="0" fontId="9" fillId="0" borderId="57" xfId="1" applyFont="1" applyBorder="1"/>
    <xf numFmtId="0" fontId="14" fillId="0" borderId="58" xfId="1" applyFont="1" applyBorder="1"/>
    <xf numFmtId="0" fontId="9" fillId="2" borderId="59" xfId="1" applyFont="1" applyFill="1" applyBorder="1"/>
    <xf numFmtId="183" fontId="9" fillId="0" borderId="60" xfId="1" applyNumberFormat="1" applyFont="1" applyBorder="1"/>
    <xf numFmtId="183" fontId="9" fillId="2" borderId="61" xfId="1" applyNumberFormat="1" applyFont="1" applyFill="1" applyBorder="1"/>
    <xf numFmtId="0" fontId="9" fillId="0" borderId="26" xfId="1" applyFont="1" applyBorder="1" applyAlignment="1">
      <alignment horizontal="center"/>
    </xf>
    <xf numFmtId="183" fontId="9" fillId="0" borderId="28" xfId="1" applyNumberFormat="1" applyFont="1" applyBorder="1"/>
    <xf numFmtId="0" fontId="9" fillId="0" borderId="17" xfId="1" applyFont="1" applyBorder="1" applyAlignment="1">
      <alignment horizontal="center"/>
    </xf>
    <xf numFmtId="183" fontId="9" fillId="0" borderId="39" xfId="1" applyNumberFormat="1" applyFont="1" applyBorder="1"/>
    <xf numFmtId="183" fontId="9" fillId="0" borderId="31" xfId="1" applyNumberFormat="1" applyFont="1" applyBorder="1"/>
    <xf numFmtId="0" fontId="9" fillId="0" borderId="0" xfId="1" applyFont="1" applyBorder="1" applyAlignment="1">
      <alignment horizontal="center"/>
    </xf>
    <xf numFmtId="0" fontId="9" fillId="0" borderId="58" xfId="1" applyFont="1" applyBorder="1" applyAlignment="1">
      <alignment horizontal="centerContinuous"/>
    </xf>
    <xf numFmtId="0" fontId="9" fillId="0" borderId="61" xfId="1" applyFont="1" applyBorder="1" applyAlignment="1">
      <alignment horizontal="centerContinuous"/>
    </xf>
    <xf numFmtId="0" fontId="14" fillId="0" borderId="59" xfId="1" applyFont="1" applyBorder="1" applyAlignment="1">
      <alignment horizontal="centerContinuous"/>
    </xf>
    <xf numFmtId="0" fontId="14" fillId="0" borderId="61" xfId="1" applyFont="1" applyBorder="1" applyAlignment="1">
      <alignment horizontal="centerContinuous"/>
    </xf>
    <xf numFmtId="0" fontId="9" fillId="0" borderId="25" xfId="1" applyFont="1" applyBorder="1"/>
    <xf numFmtId="0" fontId="32" fillId="0" borderId="7" xfId="1" applyFont="1" applyBorder="1" applyAlignment="1">
      <alignment horizontal="center"/>
    </xf>
    <xf numFmtId="0" fontId="32" fillId="0" borderId="25" xfId="1" applyFont="1" applyBorder="1" applyAlignment="1">
      <alignment horizontal="center"/>
    </xf>
    <xf numFmtId="11" fontId="9" fillId="0" borderId="16" xfId="1" applyNumberFormat="1" applyFont="1" applyBorder="1"/>
    <xf numFmtId="11" fontId="9" fillId="0" borderId="41" xfId="1" applyNumberFormat="1" applyFont="1" applyBorder="1"/>
    <xf numFmtId="0" fontId="9" fillId="0" borderId="38" xfId="1" applyFont="1" applyBorder="1" applyAlignment="1">
      <alignment horizontal="center"/>
    </xf>
    <xf numFmtId="11" fontId="9" fillId="0" borderId="26" xfId="1" applyNumberFormat="1" applyFont="1" applyFill="1" applyBorder="1"/>
    <xf numFmtId="11" fontId="9" fillId="2" borderId="38" xfId="1" applyNumberFormat="1" applyFont="1" applyFill="1" applyBorder="1"/>
    <xf numFmtId="11" fontId="9" fillId="2" borderId="26" xfId="1" applyNumberFormat="1" applyFont="1" applyFill="1" applyBorder="1"/>
    <xf numFmtId="11" fontId="9" fillId="0" borderId="31" xfId="1" applyNumberFormat="1" applyFont="1" applyBorder="1"/>
    <xf numFmtId="0" fontId="9" fillId="0" borderId="12" xfId="1" applyFont="1" applyBorder="1" applyAlignment="1">
      <alignment horizontal="center"/>
    </xf>
    <xf numFmtId="0" fontId="9" fillId="0" borderId="39" xfId="1" applyFont="1" applyBorder="1" applyAlignment="1">
      <alignment horizontal="center"/>
    </xf>
    <xf numFmtId="11" fontId="9" fillId="0" borderId="17" xfId="1" applyNumberFormat="1" applyFont="1" applyFill="1" applyBorder="1"/>
    <xf numFmtId="11" fontId="9" fillId="2" borderId="62" xfId="1" applyNumberFormat="1" applyFont="1" applyFill="1" applyBorder="1"/>
    <xf numFmtId="11" fontId="9" fillId="2" borderId="63" xfId="1" applyNumberFormat="1" applyFont="1" applyFill="1" applyBorder="1"/>
    <xf numFmtId="11" fontId="9" fillId="0" borderId="9" xfId="1" applyNumberFormat="1" applyFont="1" applyBorder="1"/>
    <xf numFmtId="0" fontId="9" fillId="0" borderId="40" xfId="1" applyFont="1" applyBorder="1" applyAlignment="1">
      <alignment horizontal="right"/>
    </xf>
    <xf numFmtId="1" fontId="9" fillId="0" borderId="0" xfId="1" applyNumberFormat="1" applyFont="1" applyBorder="1"/>
    <xf numFmtId="1" fontId="9" fillId="0" borderId="38" xfId="1" applyNumberFormat="1" applyFont="1" applyBorder="1"/>
    <xf numFmtId="1" fontId="9" fillId="0" borderId="26" xfId="1" applyNumberFormat="1" applyFont="1" applyBorder="1"/>
    <xf numFmtId="0" fontId="9" fillId="0" borderId="38" xfId="1" applyFont="1" applyBorder="1" applyAlignment="1">
      <alignment horizontal="right"/>
    </xf>
    <xf numFmtId="0" fontId="9" fillId="0" borderId="38" xfId="1" applyFont="1" applyBorder="1"/>
    <xf numFmtId="0" fontId="9" fillId="0" borderId="26" xfId="1" applyFont="1" applyBorder="1"/>
    <xf numFmtId="0" fontId="9" fillId="2" borderId="41" xfId="1" applyFont="1" applyFill="1" applyBorder="1"/>
    <xf numFmtId="0" fontId="9" fillId="0" borderId="40" xfId="1" applyFont="1" applyFill="1" applyBorder="1"/>
    <xf numFmtId="0" fontId="9" fillId="0" borderId="16" xfId="1" applyFont="1" applyFill="1" applyBorder="1"/>
    <xf numFmtId="178" fontId="9" fillId="0" borderId="28" xfId="1" applyNumberFormat="1" applyFont="1" applyBorder="1"/>
    <xf numFmtId="178" fontId="9" fillId="0" borderId="12" xfId="1" applyNumberFormat="1" applyFont="1" applyBorder="1"/>
    <xf numFmtId="178" fontId="9" fillId="0" borderId="17" xfId="1" applyNumberFormat="1" applyFont="1" applyBorder="1"/>
    <xf numFmtId="0" fontId="9" fillId="0" borderId="7" xfId="1" applyFont="1" applyBorder="1" applyAlignment="1">
      <alignment horizontal="right"/>
    </xf>
    <xf numFmtId="9" fontId="9" fillId="0" borderId="9" xfId="2" applyFont="1" applyBorder="1" applyAlignment="1">
      <alignment horizontal="left"/>
    </xf>
    <xf numFmtId="0" fontId="9" fillId="0" borderId="40" xfId="1" applyFont="1" applyBorder="1"/>
    <xf numFmtId="9" fontId="9" fillId="0" borderId="16" xfId="2" applyFont="1" applyBorder="1"/>
    <xf numFmtId="9" fontId="9" fillId="0" borderId="64" xfId="2" applyFont="1" applyBorder="1"/>
    <xf numFmtId="1" fontId="9" fillId="0" borderId="28" xfId="1" applyNumberFormat="1" applyFont="1" applyBorder="1"/>
    <xf numFmtId="1" fontId="9" fillId="0" borderId="40" xfId="1" applyNumberFormat="1" applyFont="1" applyBorder="1"/>
    <xf numFmtId="185" fontId="9" fillId="0" borderId="65" xfId="1" applyNumberFormat="1" applyFont="1" applyBorder="1"/>
    <xf numFmtId="0" fontId="1" fillId="0" borderId="12" xfId="1" applyFont="1" applyBorder="1" applyAlignment="1">
      <alignment horizontal="right"/>
    </xf>
    <xf numFmtId="1" fontId="9" fillId="0" borderId="31" xfId="1" applyNumberFormat="1" applyFont="1" applyBorder="1"/>
    <xf numFmtId="1" fontId="9" fillId="0" borderId="12" xfId="1" applyNumberFormat="1" applyFont="1" applyBorder="1"/>
    <xf numFmtId="186" fontId="9" fillId="0" borderId="66" xfId="1" applyNumberFormat="1" applyFont="1" applyBorder="1"/>
    <xf numFmtId="1" fontId="9" fillId="0" borderId="16" xfId="1" applyNumberFormat="1" applyFont="1" applyBorder="1"/>
    <xf numFmtId="1" fontId="9" fillId="0" borderId="67" xfId="1" applyNumberFormat="1" applyFont="1" applyBorder="1"/>
    <xf numFmtId="0" fontId="9" fillId="0" borderId="12" xfId="1" applyFont="1" applyBorder="1" applyAlignment="1">
      <alignment horizontal="right"/>
    </xf>
    <xf numFmtId="1" fontId="9" fillId="0" borderId="17" xfId="1" applyNumberFormat="1" applyFont="1" applyBorder="1"/>
    <xf numFmtId="0" fontId="30" fillId="0" borderId="68" xfId="1" applyFont="1" applyBorder="1" applyAlignment="1">
      <alignment horizontal="right"/>
    </xf>
    <xf numFmtId="1" fontId="9" fillId="0" borderId="69" xfId="1" applyNumberFormat="1" applyFont="1" applyBorder="1"/>
    <xf numFmtId="0" fontId="9" fillId="0" borderId="70" xfId="1" applyFont="1" applyBorder="1"/>
    <xf numFmtId="187" fontId="9" fillId="0" borderId="71" xfId="1" applyNumberFormat="1" applyFont="1" applyBorder="1"/>
    <xf numFmtId="0" fontId="34" fillId="0" borderId="0" xfId="1" applyFont="1"/>
    <xf numFmtId="0" fontId="35" fillId="0" borderId="0" xfId="1" applyFont="1"/>
    <xf numFmtId="184" fontId="34" fillId="0" borderId="32" xfId="1" applyNumberFormat="1" applyFont="1" applyBorder="1"/>
    <xf numFmtId="0" fontId="1" fillId="0" borderId="15" xfId="1" applyBorder="1"/>
    <xf numFmtId="184" fontId="37" fillId="0" borderId="15" xfId="1" applyNumberFormat="1" applyFont="1" applyFill="1" applyBorder="1"/>
    <xf numFmtId="0" fontId="1" fillId="0" borderId="37" xfId="1" applyBorder="1"/>
    <xf numFmtId="0" fontId="34" fillId="0" borderId="22" xfId="1" applyFont="1" applyBorder="1"/>
    <xf numFmtId="0" fontId="34" fillId="0" borderId="15" xfId="1" applyFont="1" applyFill="1" applyBorder="1" applyAlignment="1">
      <alignment horizontal="center"/>
    </xf>
    <xf numFmtId="0" fontId="40" fillId="0" borderId="37" xfId="1" applyFont="1" applyFill="1" applyBorder="1" applyAlignment="1">
      <alignment horizontal="center"/>
    </xf>
    <xf numFmtId="0" fontId="34" fillId="0" borderId="0" xfId="1" applyFont="1" applyBorder="1"/>
    <xf numFmtId="0" fontId="34" fillId="0" borderId="3" xfId="1" applyFont="1" applyBorder="1"/>
    <xf numFmtId="180" fontId="10" fillId="0" borderId="40" xfId="1" applyNumberFormat="1" applyFont="1" applyFill="1" applyBorder="1"/>
    <xf numFmtId="180" fontId="10" fillId="0" borderId="57" xfId="1" applyNumberFormat="1" applyFont="1" applyFill="1" applyBorder="1"/>
    <xf numFmtId="0" fontId="10" fillId="0" borderId="72" xfId="1" applyNumberFormat="1" applyFont="1" applyFill="1" applyBorder="1"/>
    <xf numFmtId="0" fontId="43" fillId="0" borderId="0" xfId="1" applyFont="1"/>
    <xf numFmtId="0" fontId="44" fillId="0" borderId="3" xfId="1" applyFont="1" applyBorder="1"/>
    <xf numFmtId="180" fontId="45" fillId="0" borderId="38" xfId="1" applyNumberFormat="1" applyFont="1" applyFill="1" applyBorder="1"/>
    <xf numFmtId="180" fontId="45" fillId="0" borderId="0" xfId="1" applyNumberFormat="1" applyFont="1" applyFill="1" applyBorder="1"/>
    <xf numFmtId="1" fontId="45" fillId="0" borderId="4" xfId="1" applyNumberFormat="1" applyFont="1" applyFill="1" applyBorder="1"/>
    <xf numFmtId="0" fontId="34" fillId="0" borderId="13" xfId="1" applyFont="1" applyBorder="1"/>
    <xf numFmtId="180" fontId="1" fillId="0" borderId="73" xfId="1" applyNumberFormat="1" applyFont="1" applyFill="1" applyBorder="1"/>
    <xf numFmtId="180" fontId="1" fillId="0" borderId="35" xfId="1" applyNumberFormat="1" applyFont="1" applyFill="1" applyBorder="1"/>
    <xf numFmtId="0" fontId="1" fillId="0" borderId="14" xfId="1" applyNumberFormat="1" applyFont="1" applyFill="1" applyBorder="1"/>
    <xf numFmtId="0" fontId="35" fillId="0" borderId="36" xfId="1" applyFont="1" applyFill="1" applyBorder="1" applyAlignment="1">
      <alignment horizontal="left"/>
    </xf>
    <xf numFmtId="0" fontId="34" fillId="0" borderId="15" xfId="1" applyFont="1" applyFill="1" applyBorder="1"/>
    <xf numFmtId="0" fontId="34" fillId="0" borderId="37" xfId="1" applyFont="1" applyFill="1" applyBorder="1"/>
    <xf numFmtId="0" fontId="34" fillId="0" borderId="32" xfId="1" applyFont="1" applyFill="1" applyBorder="1" applyAlignment="1">
      <alignment horizontal="center"/>
    </xf>
    <xf numFmtId="0" fontId="34" fillId="0" borderId="33" xfId="1" applyFont="1" applyFill="1" applyBorder="1" applyAlignment="1">
      <alignment horizontal="center"/>
    </xf>
    <xf numFmtId="0" fontId="34" fillId="0" borderId="34" xfId="1" applyFont="1" applyFill="1" applyBorder="1" applyAlignment="1">
      <alignment horizontal="left"/>
    </xf>
    <xf numFmtId="0" fontId="46" fillId="0" borderId="32" xfId="1" applyFont="1" applyFill="1" applyBorder="1"/>
    <xf numFmtId="0" fontId="34" fillId="0" borderId="36" xfId="1" applyFont="1" applyFill="1" applyBorder="1"/>
    <xf numFmtId="0" fontId="47" fillId="0" borderId="3" xfId="1" applyFont="1" applyFill="1" applyBorder="1" applyAlignment="1">
      <alignment horizontal="left"/>
    </xf>
    <xf numFmtId="0" fontId="34" fillId="0" borderId="0" xfId="1" applyFont="1" applyFill="1" applyBorder="1"/>
    <xf numFmtId="0" fontId="34" fillId="0" borderId="4" xfId="1" applyFont="1" applyFill="1" applyBorder="1"/>
    <xf numFmtId="0" fontId="34" fillId="0" borderId="36" xfId="1" applyFont="1" applyFill="1" applyBorder="1" applyAlignment="1">
      <alignment horizontal="center"/>
    </xf>
    <xf numFmtId="0" fontId="34" fillId="2" borderId="15" xfId="1" applyFont="1" applyFill="1" applyBorder="1" applyAlignment="1">
      <alignment horizontal="centerContinuous"/>
    </xf>
    <xf numFmtId="0" fontId="34" fillId="2" borderId="37" xfId="1" applyFont="1" applyFill="1" applyBorder="1" applyAlignment="1">
      <alignment horizontal="left"/>
    </xf>
    <xf numFmtId="188" fontId="49" fillId="2" borderId="37" xfId="1" applyNumberFormat="1" applyFont="1" applyFill="1" applyBorder="1" applyAlignment="1">
      <alignment horizontal="right"/>
    </xf>
    <xf numFmtId="188" fontId="49" fillId="2" borderId="24" xfId="1" applyNumberFormat="1" applyFont="1" applyFill="1" applyBorder="1" applyAlignment="1">
      <alignment horizontal="right"/>
    </xf>
    <xf numFmtId="0" fontId="34" fillId="0" borderId="3" xfId="1" applyFont="1" applyFill="1" applyBorder="1" applyAlignment="1">
      <alignment horizontal="center"/>
    </xf>
    <xf numFmtId="0" fontId="34" fillId="2" borderId="0" xfId="1" applyFont="1" applyFill="1" applyBorder="1" applyAlignment="1">
      <alignment horizontal="centerContinuous"/>
    </xf>
    <xf numFmtId="0" fontId="34" fillId="2" borderId="4" xfId="1" applyFont="1" applyFill="1" applyBorder="1" applyAlignment="1">
      <alignment horizontal="left"/>
    </xf>
    <xf numFmtId="9" fontId="34" fillId="2" borderId="0" xfId="2" applyNumberFormat="1" applyFont="1" applyFill="1" applyBorder="1" applyAlignment="1">
      <alignment horizontal="center"/>
    </xf>
    <xf numFmtId="188" fontId="49" fillId="2" borderId="4" xfId="1" applyNumberFormat="1" applyFont="1" applyFill="1" applyBorder="1" applyAlignment="1">
      <alignment horizontal="right"/>
    </xf>
    <xf numFmtId="188" fontId="49" fillId="2" borderId="27" xfId="1" applyNumberFormat="1" applyFont="1" applyFill="1" applyBorder="1" applyAlignment="1">
      <alignment horizontal="right"/>
    </xf>
    <xf numFmtId="0" fontId="34" fillId="0" borderId="0" xfId="1" applyFont="1" applyFill="1"/>
    <xf numFmtId="0" fontId="50" fillId="0" borderId="3" xfId="1" applyFont="1" applyFill="1" applyBorder="1" applyAlignment="1">
      <alignment horizontal="left"/>
    </xf>
    <xf numFmtId="0" fontId="40" fillId="0" borderId="13" xfId="1" applyFont="1" applyFill="1" applyBorder="1" applyAlignment="1">
      <alignment horizontal="center"/>
    </xf>
    <xf numFmtId="1" fontId="49" fillId="2" borderId="14" xfId="1" applyNumberFormat="1" applyFont="1" applyFill="1" applyBorder="1" applyAlignment="1">
      <alignment horizontal="right"/>
    </xf>
    <xf numFmtId="1" fontId="49" fillId="2" borderId="30" xfId="1" applyNumberFormat="1" applyFont="1" applyFill="1" applyBorder="1" applyAlignment="1">
      <alignment horizontal="right"/>
    </xf>
    <xf numFmtId="0" fontId="34" fillId="0" borderId="13" xfId="1" applyFont="1" applyFill="1" applyBorder="1" applyAlignment="1">
      <alignment horizontal="center"/>
    </xf>
    <xf numFmtId="0" fontId="34" fillId="2" borderId="14" xfId="1" applyFont="1" applyFill="1" applyBorder="1" applyAlignment="1">
      <alignment horizontal="center"/>
    </xf>
    <xf numFmtId="189" fontId="51" fillId="0" borderId="4" xfId="1" applyNumberFormat="1" applyFont="1" applyFill="1" applyBorder="1" applyAlignment="1">
      <alignment horizontal="center"/>
    </xf>
    <xf numFmtId="189" fontId="51" fillId="4" borderId="30" xfId="1" applyNumberFormat="1" applyFont="1" applyFill="1" applyBorder="1" applyAlignment="1">
      <alignment horizontal="center"/>
    </xf>
    <xf numFmtId="0" fontId="53" fillId="0" borderId="3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8" fillId="0" borderId="13" xfId="1" applyFont="1" applyFill="1" applyBorder="1" applyAlignment="1">
      <alignment horizontal="center"/>
    </xf>
    <xf numFmtId="180" fontId="34" fillId="0" borderId="14" xfId="1" applyNumberFormat="1" applyFont="1" applyFill="1" applyBorder="1" applyAlignment="1">
      <alignment horizontal="center"/>
    </xf>
    <xf numFmtId="0" fontId="55" fillId="0" borderId="1" xfId="1" applyFont="1" applyFill="1" applyBorder="1" applyAlignment="1">
      <alignment horizontal="left"/>
    </xf>
    <xf numFmtId="0" fontId="34" fillId="0" borderId="23" xfId="1" applyFont="1" applyFill="1" applyBorder="1"/>
    <xf numFmtId="0" fontId="34" fillId="0" borderId="2" xfId="1" applyFont="1" applyFill="1" applyBorder="1"/>
    <xf numFmtId="0" fontId="53" fillId="0" borderId="13" xfId="1" applyFont="1" applyFill="1" applyBorder="1" applyAlignment="1">
      <alignment horizontal="left"/>
    </xf>
    <xf numFmtId="0" fontId="34" fillId="0" borderId="35" xfId="1" applyFont="1" applyFill="1" applyBorder="1"/>
    <xf numFmtId="0" fontId="34" fillId="0" borderId="14" xfId="1" applyFont="1" applyFill="1" applyBorder="1"/>
    <xf numFmtId="9" fontId="34" fillId="0" borderId="0" xfId="2" applyNumberFormat="1" applyFont="1" applyFill="1" applyBorder="1" applyAlignment="1">
      <alignment horizontal="center"/>
    </xf>
    <xf numFmtId="9" fontId="34" fillId="2" borderId="4" xfId="2" applyNumberFormat="1" applyFont="1" applyFill="1" applyBorder="1" applyAlignment="1">
      <alignment horizontal="left"/>
    </xf>
    <xf numFmtId="190" fontId="54" fillId="0" borderId="0" xfId="2" applyNumberFormat="1" applyFont="1" applyFill="1" applyBorder="1" applyAlignment="1">
      <alignment horizontal="left"/>
    </xf>
    <xf numFmtId="0" fontId="55" fillId="0" borderId="0" xfId="1" applyFont="1" applyFill="1" applyBorder="1" applyAlignment="1">
      <alignment horizontal="center"/>
    </xf>
    <xf numFmtId="188" fontId="34" fillId="0" borderId="35" xfId="1" applyNumberFormat="1" applyFont="1" applyFill="1" applyBorder="1" applyAlignment="1">
      <alignment horizontal="centerContinuous"/>
    </xf>
    <xf numFmtId="188" fontId="34" fillId="0" borderId="14" xfId="1" applyNumberFormat="1" applyFont="1" applyFill="1" applyBorder="1" applyAlignment="1">
      <alignment horizontal="left"/>
    </xf>
    <xf numFmtId="0" fontId="57" fillId="0" borderId="0" xfId="1" applyFont="1" applyFill="1" applyBorder="1" applyAlignment="1">
      <alignment horizontal="left"/>
    </xf>
    <xf numFmtId="0" fontId="58" fillId="0" borderId="0" xfId="1" applyFont="1" applyFill="1" applyBorder="1"/>
    <xf numFmtId="184" fontId="59" fillId="0" borderId="0" xfId="1" applyNumberFormat="1" applyFont="1" applyFill="1"/>
    <xf numFmtId="184" fontId="55" fillId="0" borderId="36" xfId="1" applyNumberFormat="1" applyFont="1" applyFill="1" applyBorder="1" applyAlignment="1">
      <alignment horizontal="center"/>
    </xf>
    <xf numFmtId="1" fontId="55" fillId="0" borderId="15" xfId="1" applyNumberFormat="1" applyFont="1" applyFill="1" applyBorder="1" applyAlignment="1">
      <alignment horizontal="right"/>
    </xf>
    <xf numFmtId="1" fontId="55" fillId="0" borderId="37" xfId="1" applyNumberFormat="1" applyFont="1" applyFill="1" applyBorder="1" applyAlignment="1">
      <alignment horizontal="right"/>
    </xf>
    <xf numFmtId="0" fontId="55" fillId="0" borderId="0" xfId="1" applyFont="1" applyFill="1"/>
    <xf numFmtId="184" fontId="55" fillId="0" borderId="74" xfId="1" applyNumberFormat="1" applyFont="1" applyFill="1" applyBorder="1" applyAlignment="1">
      <alignment horizontal="center"/>
    </xf>
    <xf numFmtId="1" fontId="55" fillId="2" borderId="57" xfId="1" applyNumberFormat="1" applyFont="1" applyFill="1" applyBorder="1" applyAlignment="1">
      <alignment horizontal="right"/>
    </xf>
    <xf numFmtId="1" fontId="55" fillId="2" borderId="72" xfId="1" applyNumberFormat="1" applyFont="1" applyFill="1" applyBorder="1" applyAlignment="1">
      <alignment horizontal="right"/>
    </xf>
    <xf numFmtId="191" fontId="61" fillId="0" borderId="13" xfId="1" applyNumberFormat="1" applyFont="1" applyFill="1" applyBorder="1" applyAlignment="1" applyProtection="1">
      <alignment horizontal="center"/>
      <protection locked="0"/>
    </xf>
    <xf numFmtId="188" fontId="55" fillId="2" borderId="0" xfId="1" applyNumberFormat="1" applyFont="1" applyFill="1" applyBorder="1" applyAlignment="1" applyProtection="1">
      <alignment horizontal="right"/>
      <protection locked="0"/>
    </xf>
    <xf numFmtId="188" fontId="55" fillId="2" borderId="4" xfId="1" applyNumberFormat="1" applyFont="1" applyFill="1" applyBorder="1" applyAlignment="1">
      <alignment horizontal="right"/>
    </xf>
    <xf numFmtId="184" fontId="55" fillId="0" borderId="75" xfId="1" applyNumberFormat="1" applyFont="1" applyFill="1" applyBorder="1" applyAlignment="1">
      <alignment horizontal="right"/>
    </xf>
    <xf numFmtId="188" fontId="55" fillId="0" borderId="15" xfId="1" applyNumberFormat="1" applyFont="1" applyFill="1" applyBorder="1" applyAlignment="1">
      <alignment horizontal="right"/>
    </xf>
    <xf numFmtId="188" fontId="55" fillId="0" borderId="37" xfId="1" applyNumberFormat="1" applyFont="1" applyFill="1" applyBorder="1" applyAlignment="1">
      <alignment horizontal="right"/>
    </xf>
    <xf numFmtId="0" fontId="55" fillId="0" borderId="3" xfId="1" applyFont="1" applyFill="1" applyBorder="1" applyAlignment="1">
      <alignment horizontal="center"/>
    </xf>
    <xf numFmtId="184" fontId="55" fillId="0" borderId="0" xfId="1" applyNumberFormat="1" applyFont="1" applyFill="1" applyBorder="1" applyAlignment="1">
      <alignment horizontal="center"/>
    </xf>
    <xf numFmtId="184" fontId="55" fillId="0" borderId="4" xfId="1" applyNumberFormat="1" applyFont="1" applyFill="1" applyBorder="1" applyAlignment="1">
      <alignment horizontal="center"/>
    </xf>
    <xf numFmtId="184" fontId="55" fillId="0" borderId="47" xfId="1" applyNumberFormat="1" applyFont="1" applyFill="1" applyBorder="1" applyAlignment="1">
      <alignment horizontal="right"/>
    </xf>
    <xf numFmtId="188" fontId="55" fillId="0" borderId="0" xfId="1" applyNumberFormat="1" applyFont="1" applyFill="1" applyBorder="1" applyAlignment="1">
      <alignment horizontal="right"/>
    </xf>
    <xf numFmtId="188" fontId="55" fillId="0" borderId="4" xfId="1" applyNumberFormat="1" applyFont="1" applyFill="1" applyBorder="1" applyAlignment="1">
      <alignment horizontal="right"/>
    </xf>
    <xf numFmtId="188" fontId="55" fillId="0" borderId="39" xfId="1" applyNumberFormat="1" applyFont="1" applyFill="1" applyBorder="1" applyAlignment="1">
      <alignment horizontal="right"/>
    </xf>
    <xf numFmtId="188" fontId="55" fillId="0" borderId="76" xfId="1" applyNumberFormat="1" applyFont="1" applyFill="1" applyBorder="1" applyAlignment="1">
      <alignment horizontal="right"/>
    </xf>
    <xf numFmtId="0" fontId="55" fillId="0" borderId="53" xfId="1" applyFont="1" applyFill="1" applyBorder="1" applyAlignment="1">
      <alignment horizontal="right"/>
    </xf>
    <xf numFmtId="192" fontId="55" fillId="0" borderId="0" xfId="1" applyNumberFormat="1" applyFont="1" applyFill="1" applyBorder="1" applyAlignment="1" applyProtection="1">
      <alignment horizontal="right"/>
      <protection locked="0"/>
    </xf>
    <xf numFmtId="192" fontId="55" fillId="0" borderId="4" xfId="1" applyNumberFormat="1" applyFont="1" applyFill="1" applyBorder="1" applyAlignment="1" applyProtection="1">
      <alignment horizontal="right"/>
      <protection locked="0"/>
    </xf>
    <xf numFmtId="0" fontId="55" fillId="0" borderId="74" xfId="1" applyFont="1" applyFill="1" applyBorder="1" applyAlignment="1">
      <alignment horizontal="center"/>
    </xf>
    <xf numFmtId="0" fontId="64" fillId="0" borderId="57" xfId="1" applyFont="1" applyFill="1" applyBorder="1" applyAlignment="1">
      <alignment horizontal="center"/>
    </xf>
    <xf numFmtId="0" fontId="55" fillId="0" borderId="72" xfId="1" applyFont="1" applyFill="1" applyBorder="1" applyAlignment="1">
      <alignment horizontal="center"/>
    </xf>
    <xf numFmtId="0" fontId="55" fillId="0" borderId="47" xfId="1" applyFont="1" applyFill="1" applyBorder="1" applyAlignment="1">
      <alignment horizontal="right"/>
    </xf>
    <xf numFmtId="0" fontId="64" fillId="0" borderId="0" xfId="1" applyFont="1" applyFill="1" applyBorder="1" applyAlignment="1">
      <alignment horizontal="center"/>
    </xf>
    <xf numFmtId="0" fontId="55" fillId="0" borderId="4" xfId="1" applyFont="1" applyFill="1" applyBorder="1" applyAlignment="1">
      <alignment horizontal="center"/>
    </xf>
    <xf numFmtId="0" fontId="55" fillId="0" borderId="77" xfId="1" quotePrefix="1" applyFont="1" applyFill="1" applyBorder="1" applyAlignment="1">
      <alignment horizontal="right"/>
    </xf>
    <xf numFmtId="192" fontId="55" fillId="0" borderId="39" xfId="1" applyNumberFormat="1" applyFont="1" applyFill="1" applyBorder="1" applyAlignment="1" applyProtection="1">
      <alignment horizontal="right"/>
      <protection locked="0"/>
    </xf>
    <xf numFmtId="192" fontId="55" fillId="0" borderId="76" xfId="1" applyNumberFormat="1" applyFont="1" applyFill="1" applyBorder="1" applyAlignment="1" applyProtection="1">
      <alignment horizontal="right"/>
      <protection locked="0"/>
    </xf>
    <xf numFmtId="0" fontId="55" fillId="0" borderId="78" xfId="1" applyFont="1" applyFill="1" applyBorder="1" applyAlignment="1">
      <alignment horizontal="center"/>
    </xf>
    <xf numFmtId="0" fontId="64" fillId="0" borderId="39" xfId="1" applyFont="1" applyFill="1" applyBorder="1" applyAlignment="1">
      <alignment horizontal="center"/>
    </xf>
    <xf numFmtId="0" fontId="55" fillId="0" borderId="76" xfId="1" quotePrefix="1" applyFont="1" applyFill="1" applyBorder="1" applyAlignment="1">
      <alignment horizontal="center"/>
    </xf>
    <xf numFmtId="0" fontId="34" fillId="0" borderId="47" xfId="1" applyFont="1" applyFill="1" applyBorder="1" applyAlignment="1">
      <alignment horizontal="right"/>
    </xf>
    <xf numFmtId="180" fontId="55" fillId="0" borderId="0" xfId="1" applyNumberFormat="1" applyFont="1" applyFill="1" applyBorder="1" applyAlignment="1">
      <alignment horizontal="right"/>
    </xf>
    <xf numFmtId="180" fontId="55" fillId="0" borderId="0" xfId="1" applyNumberFormat="1" applyFont="1" applyFill="1" applyBorder="1" applyAlignment="1" applyProtection="1">
      <alignment horizontal="right"/>
      <protection locked="0"/>
    </xf>
    <xf numFmtId="180" fontId="55" fillId="0" borderId="4" xfId="1" applyNumberFormat="1" applyFont="1" applyFill="1" applyBorder="1" applyAlignment="1" applyProtection="1">
      <alignment horizontal="right"/>
      <protection locked="0"/>
    </xf>
    <xf numFmtId="180" fontId="55" fillId="0" borderId="39" xfId="1" applyNumberFormat="1" applyFont="1" applyFill="1" applyBorder="1" applyAlignment="1" applyProtection="1">
      <alignment horizontal="right"/>
      <protection locked="0"/>
    </xf>
    <xf numFmtId="180" fontId="55" fillId="0" borderId="76" xfId="1" applyNumberFormat="1" applyFont="1" applyFill="1" applyBorder="1" applyAlignment="1" applyProtection="1">
      <alignment horizontal="right"/>
      <protection locked="0"/>
    </xf>
    <xf numFmtId="0" fontId="34" fillId="0" borderId="53" xfId="1" applyFont="1" applyFill="1" applyBorder="1"/>
    <xf numFmtId="0" fontId="55" fillId="0" borderId="57" xfId="1" applyFont="1" applyFill="1" applyBorder="1" applyAlignment="1">
      <alignment horizontal="center"/>
    </xf>
    <xf numFmtId="0" fontId="55" fillId="0" borderId="77" xfId="1" applyFont="1" applyFill="1" applyBorder="1" applyAlignment="1">
      <alignment horizontal="right"/>
    </xf>
    <xf numFmtId="180" fontId="65" fillId="0" borderId="39" xfId="1" applyNumberFormat="1" applyFont="1" applyFill="1" applyBorder="1" applyAlignment="1" applyProtection="1">
      <alignment horizontal="right"/>
      <protection locked="0"/>
    </xf>
    <xf numFmtId="180" fontId="65" fillId="0" borderId="76" xfId="1" applyNumberFormat="1" applyFont="1" applyFill="1" applyBorder="1" applyAlignment="1" applyProtection="1">
      <alignment horizontal="right"/>
      <protection locked="0"/>
    </xf>
    <xf numFmtId="0" fontId="55" fillId="0" borderId="0" xfId="1" applyFont="1" applyFill="1" applyBorder="1"/>
    <xf numFmtId="0" fontId="55" fillId="0" borderId="39" xfId="1" applyFont="1" applyFill="1" applyBorder="1" applyAlignment="1">
      <alignment horizontal="center"/>
    </xf>
    <xf numFmtId="0" fontId="55" fillId="0" borderId="76" xfId="1" applyFont="1" applyFill="1" applyBorder="1" applyAlignment="1">
      <alignment horizontal="center"/>
    </xf>
    <xf numFmtId="180" fontId="55" fillId="0" borderId="4" xfId="1" applyNumberFormat="1" applyFont="1" applyFill="1" applyBorder="1" applyAlignment="1">
      <alignment horizontal="right"/>
    </xf>
    <xf numFmtId="180" fontId="55" fillId="0" borderId="0" xfId="1" applyNumberFormat="1" applyFont="1" applyFill="1" applyBorder="1"/>
    <xf numFmtId="0" fontId="66" fillId="0" borderId="3" xfId="1" applyFont="1" applyFill="1" applyBorder="1" applyAlignment="1">
      <alignment horizontal="center"/>
    </xf>
    <xf numFmtId="0" fontId="55" fillId="0" borderId="49" xfId="1" applyFont="1" applyFill="1" applyBorder="1" applyAlignment="1">
      <alignment horizontal="right"/>
    </xf>
    <xf numFmtId="192" fontId="55" fillId="0" borderId="35" xfId="1" applyNumberFormat="1" applyFont="1" applyFill="1" applyBorder="1" applyAlignment="1">
      <alignment horizontal="center"/>
    </xf>
    <xf numFmtId="0" fontId="55" fillId="0" borderId="75" xfId="1" applyFont="1" applyFill="1" applyBorder="1" applyAlignment="1">
      <alignment horizontal="left"/>
    </xf>
    <xf numFmtId="2" fontId="55" fillId="0" borderId="15" xfId="1" applyNumberFormat="1" applyFont="1" applyFill="1" applyBorder="1" applyAlignment="1">
      <alignment horizontal="right"/>
    </xf>
    <xf numFmtId="2" fontId="55" fillId="0" borderId="37" xfId="1" applyNumberFormat="1" applyFont="1" applyFill="1" applyBorder="1" applyAlignment="1">
      <alignment horizontal="right"/>
    </xf>
    <xf numFmtId="0" fontId="55" fillId="0" borderId="36" xfId="1" applyFont="1" applyFill="1" applyBorder="1" applyAlignment="1">
      <alignment horizontal="center"/>
    </xf>
    <xf numFmtId="184" fontId="55" fillId="0" borderId="15" xfId="1" applyNumberFormat="1" applyFont="1" applyFill="1" applyBorder="1" applyAlignment="1">
      <alignment horizontal="center"/>
    </xf>
    <xf numFmtId="184" fontId="55" fillId="0" borderId="37" xfId="1" applyNumberFormat="1" applyFont="1" applyFill="1" applyBorder="1" applyAlignment="1">
      <alignment horizontal="center"/>
    </xf>
    <xf numFmtId="0" fontId="34" fillId="0" borderId="47" xfId="1" applyFont="1" applyFill="1" applyBorder="1" applyAlignment="1">
      <alignment horizontal="center"/>
    </xf>
    <xf numFmtId="188" fontId="67" fillId="0" borderId="0" xfId="1" applyNumberFormat="1" applyFont="1" applyFill="1" applyBorder="1" applyAlignment="1">
      <alignment horizontal="right"/>
    </xf>
    <xf numFmtId="188" fontId="67" fillId="0" borderId="4" xfId="1" applyNumberFormat="1" applyFont="1" applyFill="1" applyBorder="1" applyAlignment="1">
      <alignment horizontal="right"/>
    </xf>
    <xf numFmtId="0" fontId="61" fillId="0" borderId="3" xfId="1" applyFont="1" applyFill="1" applyBorder="1" applyAlignment="1">
      <alignment horizontal="center"/>
    </xf>
    <xf numFmtId="188" fontId="68" fillId="0" borderId="0" xfId="1" applyNumberFormat="1" applyFont="1" applyFill="1" applyBorder="1" applyAlignment="1">
      <alignment horizontal="right"/>
    </xf>
    <xf numFmtId="188" fontId="68" fillId="0" borderId="4" xfId="1" applyNumberFormat="1" applyFont="1" applyFill="1" applyBorder="1" applyAlignment="1">
      <alignment horizontal="right"/>
    </xf>
    <xf numFmtId="0" fontId="34" fillId="0" borderId="47" xfId="1" applyFont="1" applyFill="1" applyBorder="1"/>
    <xf numFmtId="9" fontId="55" fillId="0" borderId="0" xfId="2" applyFont="1" applyFill="1" applyBorder="1" applyAlignment="1">
      <alignment horizontal="right"/>
    </xf>
    <xf numFmtId="9" fontId="55" fillId="0" borderId="4" xfId="2" applyFont="1" applyFill="1" applyBorder="1" applyAlignment="1">
      <alignment horizontal="right"/>
    </xf>
    <xf numFmtId="0" fontId="34" fillId="0" borderId="49" xfId="1" applyFont="1" applyFill="1" applyBorder="1"/>
    <xf numFmtId="9" fontId="55" fillId="0" borderId="35" xfId="2" applyFont="1" applyFill="1" applyBorder="1" applyAlignment="1">
      <alignment horizontal="right"/>
    </xf>
    <xf numFmtId="9" fontId="55" fillId="0" borderId="14" xfId="2" applyFont="1" applyFill="1" applyBorder="1" applyAlignment="1">
      <alignment horizontal="right"/>
    </xf>
    <xf numFmtId="0" fontId="55" fillId="0" borderId="13" xfId="1" applyFont="1" applyFill="1" applyBorder="1" applyAlignment="1">
      <alignment horizontal="center"/>
    </xf>
    <xf numFmtId="184" fontId="55" fillId="0" borderId="35" xfId="1" applyNumberFormat="1" applyFont="1" applyFill="1" applyBorder="1" applyAlignment="1">
      <alignment horizontal="center"/>
    </xf>
    <xf numFmtId="184" fontId="55" fillId="0" borderId="14" xfId="1" applyNumberFormat="1" applyFont="1" applyFill="1" applyBorder="1" applyAlignment="1">
      <alignment horizontal="center"/>
    </xf>
    <xf numFmtId="0" fontId="56" fillId="0" borderId="0" xfId="1" applyFont="1" applyFill="1"/>
    <xf numFmtId="0" fontId="1" fillId="0" borderId="53" xfId="1" applyFill="1" applyBorder="1"/>
    <xf numFmtId="188" fontId="1" fillId="0" borderId="15" xfId="1" applyNumberFormat="1" applyFill="1" applyBorder="1"/>
    <xf numFmtId="188" fontId="1" fillId="0" borderId="37" xfId="1" applyNumberFormat="1" applyFill="1" applyBorder="1"/>
    <xf numFmtId="0" fontId="1" fillId="0" borderId="36" xfId="1" applyFill="1" applyBorder="1" applyAlignment="1">
      <alignment horizontal="left"/>
    </xf>
    <xf numFmtId="0" fontId="1" fillId="0" borderId="24" xfId="1" applyFill="1" applyBorder="1"/>
    <xf numFmtId="188" fontId="1" fillId="0" borderId="0" xfId="1" applyNumberFormat="1" applyFill="1" applyBorder="1"/>
    <xf numFmtId="188" fontId="1" fillId="0" borderId="4" xfId="1" applyNumberFormat="1" applyFill="1" applyBorder="1"/>
    <xf numFmtId="0" fontId="34" fillId="0" borderId="3" xfId="1" applyFont="1" applyFill="1" applyBorder="1"/>
    <xf numFmtId="0" fontId="1" fillId="0" borderId="27" xfId="1" applyFill="1" applyBorder="1"/>
    <xf numFmtId="188" fontId="1" fillId="0" borderId="35" xfId="1" applyNumberFormat="1" applyFill="1" applyBorder="1"/>
    <xf numFmtId="188" fontId="1" fillId="0" borderId="14" xfId="1" applyNumberFormat="1" applyFill="1" applyBorder="1"/>
    <xf numFmtId="0" fontId="34" fillId="0" borderId="13" xfId="1" applyFont="1" applyFill="1" applyBorder="1"/>
    <xf numFmtId="0" fontId="1" fillId="0" borderId="30" xfId="1" applyFill="1" applyBorder="1"/>
    <xf numFmtId="0" fontId="34" fillId="0" borderId="77" xfId="1" applyFont="1" applyFill="1" applyBorder="1"/>
    <xf numFmtId="0" fontId="55" fillId="0" borderId="36" xfId="1" applyFont="1" applyFill="1" applyBorder="1" applyAlignment="1">
      <alignment horizontal="left"/>
    </xf>
    <xf numFmtId="0" fontId="55" fillId="0" borderId="24" xfId="1" applyFont="1" applyFill="1" applyBorder="1" applyAlignment="1">
      <alignment horizontal="center"/>
    </xf>
    <xf numFmtId="0" fontId="55" fillId="0" borderId="27" xfId="1" applyFont="1" applyFill="1" applyBorder="1" applyAlignment="1">
      <alignment horizontal="center"/>
    </xf>
    <xf numFmtId="0" fontId="55" fillId="0" borderId="30" xfId="1" applyFont="1" applyFill="1" applyBorder="1" applyAlignment="1">
      <alignment horizontal="center"/>
    </xf>
    <xf numFmtId="188" fontId="34" fillId="0" borderId="0" xfId="1" applyNumberFormat="1" applyFont="1"/>
    <xf numFmtId="184" fontId="37" fillId="0" borderId="0" xfId="1" applyNumberFormat="1" applyFont="1" applyFill="1" applyBorder="1"/>
    <xf numFmtId="184" fontId="34" fillId="0" borderId="32" xfId="1" applyNumberFormat="1" applyFont="1" applyFill="1" applyBorder="1"/>
    <xf numFmtId="184" fontId="34" fillId="0" borderId="33" xfId="1" applyNumberFormat="1" applyFont="1" applyFill="1" applyBorder="1"/>
    <xf numFmtId="184" fontId="37" fillId="0" borderId="37" xfId="1" applyNumberFormat="1" applyFont="1" applyFill="1" applyBorder="1"/>
    <xf numFmtId="0" fontId="34" fillId="0" borderId="22" xfId="1" applyFont="1" applyFill="1" applyBorder="1"/>
    <xf numFmtId="0" fontId="40" fillId="0" borderId="15" xfId="1" applyFont="1" applyFill="1" applyBorder="1" applyAlignment="1">
      <alignment horizontal="center"/>
    </xf>
    <xf numFmtId="0" fontId="24" fillId="0" borderId="15" xfId="1" applyFont="1" applyFill="1" applyBorder="1" applyAlignment="1">
      <alignment horizontal="center"/>
    </xf>
    <xf numFmtId="0" fontId="24" fillId="0" borderId="37" xfId="1" applyFont="1" applyFill="1" applyBorder="1" applyAlignment="1">
      <alignment horizontal="center"/>
    </xf>
    <xf numFmtId="1" fontId="10" fillId="0" borderId="40" xfId="1" applyNumberFormat="1" applyFont="1" applyFill="1" applyBorder="1"/>
    <xf numFmtId="180" fontId="10" fillId="0" borderId="79" xfId="1" applyNumberFormat="1" applyFont="1" applyFill="1" applyBorder="1"/>
    <xf numFmtId="0" fontId="44" fillId="0" borderId="3" xfId="1" applyFont="1" applyFill="1" applyBorder="1"/>
    <xf numFmtId="1" fontId="45" fillId="0" borderId="38" xfId="1" applyNumberFormat="1" applyFont="1" applyFill="1" applyBorder="1"/>
    <xf numFmtId="180" fontId="45" fillId="0" borderId="48" xfId="1" applyNumberFormat="1" applyFont="1" applyFill="1" applyBorder="1"/>
    <xf numFmtId="184" fontId="71" fillId="0" borderId="0" xfId="1" applyNumberFormat="1" applyFont="1" applyFill="1" applyBorder="1"/>
    <xf numFmtId="180" fontId="1" fillId="0" borderId="73" xfId="1" applyNumberFormat="1" applyFill="1" applyBorder="1"/>
    <xf numFmtId="180" fontId="1" fillId="0" borderId="50" xfId="1" applyNumberFormat="1" applyFill="1" applyBorder="1"/>
    <xf numFmtId="0" fontId="1" fillId="0" borderId="0" xfId="1" applyFill="1"/>
    <xf numFmtId="0" fontId="34" fillId="2" borderId="15" xfId="1" applyFont="1" applyFill="1" applyBorder="1" applyAlignment="1">
      <alignment horizontal="center"/>
    </xf>
    <xf numFmtId="0" fontId="34" fillId="2" borderId="37" xfId="1" applyFont="1" applyFill="1" applyBorder="1" applyAlignment="1">
      <alignment horizontal="center"/>
    </xf>
    <xf numFmtId="0" fontId="34" fillId="2" borderId="37" xfId="1" applyFont="1" applyFill="1" applyBorder="1" applyAlignment="1">
      <alignment horizontal="centerContinuous"/>
    </xf>
    <xf numFmtId="1" fontId="52" fillId="2" borderId="37" xfId="1" applyNumberFormat="1" applyFont="1" applyFill="1" applyBorder="1" applyAlignment="1">
      <alignment horizontal="center"/>
    </xf>
    <xf numFmtId="0" fontId="72" fillId="0" borderId="0" xfId="1" applyFont="1" applyAlignment="1">
      <alignment horizontal="left"/>
    </xf>
    <xf numFmtId="0" fontId="34" fillId="2" borderId="0" xfId="1" applyFont="1" applyFill="1" applyBorder="1" applyAlignment="1">
      <alignment horizontal="center"/>
    </xf>
    <xf numFmtId="0" fontId="34" fillId="2" borderId="4" xfId="1" applyFont="1" applyFill="1" applyBorder="1" applyAlignment="1">
      <alignment horizontal="center"/>
    </xf>
    <xf numFmtId="0" fontId="34" fillId="2" borderId="4" xfId="1" applyFont="1" applyFill="1" applyBorder="1" applyAlignment="1">
      <alignment horizontal="centerContinuous"/>
    </xf>
    <xf numFmtId="0" fontId="40" fillId="0" borderId="0" xfId="1" applyFont="1" applyFill="1" applyBorder="1" applyAlignment="1">
      <alignment horizontal="center"/>
    </xf>
    <xf numFmtId="1" fontId="52" fillId="2" borderId="4" xfId="1" applyNumberFormat="1" applyFont="1" applyFill="1" applyBorder="1" applyAlignment="1">
      <alignment horizontal="center"/>
    </xf>
    <xf numFmtId="1" fontId="52" fillId="2" borderId="24" xfId="1" applyNumberFormat="1" applyFont="1" applyFill="1" applyBorder="1" applyAlignment="1">
      <alignment horizontal="center"/>
    </xf>
    <xf numFmtId="0" fontId="30" fillId="0" borderId="0" xfId="1" applyFont="1" applyFill="1" applyBorder="1" applyAlignment="1">
      <alignment horizontal="center"/>
    </xf>
    <xf numFmtId="180" fontId="52" fillId="2" borderId="4" xfId="1" applyNumberFormat="1" applyFont="1" applyFill="1" applyBorder="1" applyAlignment="1">
      <alignment horizontal="center"/>
    </xf>
    <xf numFmtId="1" fontId="52" fillId="2" borderId="27" xfId="1" applyNumberFormat="1" applyFont="1" applyFill="1" applyBorder="1" applyAlignment="1">
      <alignment horizontal="center"/>
    </xf>
    <xf numFmtId="0" fontId="30" fillId="0" borderId="3" xfId="1" applyFont="1" applyFill="1" applyBorder="1" applyAlignment="1">
      <alignment horizontal="center"/>
    </xf>
    <xf numFmtId="180" fontId="52" fillId="2" borderId="27" xfId="1" applyNumberFormat="1" applyFont="1" applyFill="1" applyBorder="1" applyAlignment="1">
      <alignment horizontal="center"/>
    </xf>
    <xf numFmtId="0" fontId="30" fillId="0" borderId="32" xfId="1" applyFont="1" applyFill="1" applyBorder="1" applyAlignment="1">
      <alignment horizontal="center"/>
    </xf>
    <xf numFmtId="180" fontId="52" fillId="2" borderId="34" xfId="1" applyNumberFormat="1" applyFont="1" applyFill="1" applyBorder="1" applyAlignment="1">
      <alignment horizontal="center"/>
    </xf>
    <xf numFmtId="9" fontId="34" fillId="2" borderId="4" xfId="2" applyNumberFormat="1" applyFont="1" applyFill="1" applyBorder="1" applyAlignment="1">
      <alignment horizontal="center"/>
    </xf>
    <xf numFmtId="0" fontId="73" fillId="0" borderId="32" xfId="1" applyFont="1" applyBorder="1" applyAlignment="1">
      <alignment horizontal="center"/>
    </xf>
    <xf numFmtId="193" fontId="51" fillId="0" borderId="34" xfId="1" applyNumberFormat="1" applyFont="1" applyFill="1" applyBorder="1" applyAlignment="1">
      <alignment horizontal="center"/>
    </xf>
    <xf numFmtId="193" fontId="51" fillId="5" borderId="80" xfId="1" applyNumberFormat="1" applyFont="1" applyFill="1" applyBorder="1" applyAlignment="1">
      <alignment horizontal="center"/>
    </xf>
    <xf numFmtId="193" fontId="51" fillId="5" borderId="34" xfId="1" applyNumberFormat="1" applyFont="1" applyFill="1" applyBorder="1" applyAlignment="1">
      <alignment horizontal="center"/>
    </xf>
    <xf numFmtId="0" fontId="30" fillId="0" borderId="36" xfId="1" applyFont="1" applyBorder="1" applyAlignment="1">
      <alignment horizontal="center"/>
    </xf>
    <xf numFmtId="180" fontId="34" fillId="0" borderId="37" xfId="1" applyNumberFormat="1" applyFont="1" applyFill="1" applyBorder="1" applyAlignment="1">
      <alignment horizontal="center"/>
    </xf>
    <xf numFmtId="0" fontId="30" fillId="0" borderId="13" xfId="1" applyFont="1" applyBorder="1" applyAlignment="1">
      <alignment horizontal="center"/>
    </xf>
    <xf numFmtId="0" fontId="9" fillId="0" borderId="0" xfId="1" applyFont="1" applyFill="1" applyBorder="1" applyAlignment="1">
      <alignment horizontal="centerContinuous"/>
    </xf>
    <xf numFmtId="0" fontId="9" fillId="0" borderId="0" xfId="1" applyFont="1" applyFill="1"/>
    <xf numFmtId="184" fontId="37" fillId="0" borderId="0" xfId="1" applyNumberFormat="1" applyFont="1"/>
    <xf numFmtId="0" fontId="48" fillId="0" borderId="0" xfId="1" applyFont="1" applyFill="1" applyBorder="1" applyAlignment="1">
      <alignment horizontal="centerContinuous"/>
    </xf>
    <xf numFmtId="184" fontId="34" fillId="0" borderId="36" xfId="1" applyNumberFormat="1" applyFont="1" applyFill="1" applyBorder="1" applyAlignment="1">
      <alignment horizontal="center"/>
    </xf>
    <xf numFmtId="1" fontId="34" fillId="0" borderId="81" xfId="1" applyNumberFormat="1" applyFont="1" applyFill="1" applyBorder="1" applyAlignment="1">
      <alignment horizontal="center"/>
    </xf>
    <xf numFmtId="1" fontId="34" fillId="0" borderId="15" xfId="1" applyNumberFormat="1" applyFont="1" applyFill="1" applyBorder="1" applyAlignment="1">
      <alignment horizontal="center"/>
    </xf>
    <xf numFmtId="1" fontId="34" fillId="0" borderId="15" xfId="1" applyNumberFormat="1" applyFont="1" applyBorder="1" applyAlignment="1">
      <alignment horizontal="center"/>
    </xf>
    <xf numFmtId="1" fontId="34" fillId="0" borderId="37" xfId="1" applyNumberFormat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1" fontId="34" fillId="2" borderId="81" xfId="1" applyNumberFormat="1" applyFont="1" applyFill="1" applyBorder="1" applyAlignment="1">
      <alignment horizontal="center"/>
    </xf>
    <xf numFmtId="1" fontId="34" fillId="2" borderId="15" xfId="1" applyNumberFormat="1" applyFont="1" applyFill="1" applyBorder="1" applyAlignment="1">
      <alignment horizontal="center"/>
    </xf>
    <xf numFmtId="1" fontId="34" fillId="2" borderId="37" xfId="1" applyNumberFormat="1" applyFont="1" applyFill="1" applyBorder="1" applyAlignment="1">
      <alignment horizontal="center"/>
    </xf>
    <xf numFmtId="191" fontId="74" fillId="0" borderId="13" xfId="1" applyNumberFormat="1" applyFont="1" applyFill="1" applyBorder="1" applyAlignment="1" applyProtection="1">
      <alignment horizontal="center"/>
      <protection locked="0"/>
    </xf>
    <xf numFmtId="180" fontId="34" fillId="2" borderId="73" xfId="1" applyNumberFormat="1" applyFont="1" applyFill="1" applyBorder="1" applyAlignment="1" applyProtection="1">
      <alignment horizontal="center"/>
      <protection locked="0"/>
    </xf>
    <xf numFmtId="180" fontId="34" fillId="2" borderId="35" xfId="1" applyNumberFormat="1" applyFont="1" applyFill="1" applyBorder="1" applyAlignment="1" applyProtection="1">
      <alignment horizontal="center"/>
      <protection locked="0"/>
    </xf>
    <xf numFmtId="180" fontId="34" fillId="2" borderId="14" xfId="1" applyNumberFormat="1" applyFont="1" applyFill="1" applyBorder="1" applyAlignment="1">
      <alignment horizontal="center"/>
    </xf>
    <xf numFmtId="184" fontId="55" fillId="0" borderId="36" xfId="1" applyNumberFormat="1" applyFont="1" applyFill="1" applyBorder="1" applyAlignment="1">
      <alignment horizontal="right"/>
    </xf>
    <xf numFmtId="188" fontId="34" fillId="0" borderId="81" xfId="1" applyNumberFormat="1" applyFont="1" applyFill="1" applyBorder="1" applyAlignment="1">
      <alignment horizontal="center"/>
    </xf>
    <xf numFmtId="188" fontId="34" fillId="0" borderId="15" xfId="1" applyNumberFormat="1" applyFont="1" applyFill="1" applyBorder="1" applyAlignment="1">
      <alignment horizontal="center"/>
    </xf>
    <xf numFmtId="188" fontId="34" fillId="0" borderId="37" xfId="1" applyNumberFormat="1" applyFont="1" applyFill="1" applyBorder="1" applyAlignment="1">
      <alignment horizontal="center"/>
    </xf>
    <xf numFmtId="0" fontId="76" fillId="0" borderId="36" xfId="1" applyFont="1" applyFill="1" applyBorder="1" applyAlignment="1">
      <alignment horizontal="left"/>
    </xf>
    <xf numFmtId="184" fontId="54" fillId="0" borderId="15" xfId="1" applyNumberFormat="1" applyFont="1" applyFill="1" applyBorder="1" applyAlignment="1">
      <alignment horizontal="center"/>
    </xf>
    <xf numFmtId="0" fontId="1" fillId="0" borderId="37" xfId="1" applyFill="1" applyBorder="1"/>
    <xf numFmtId="184" fontId="55" fillId="0" borderId="3" xfId="1" applyNumberFormat="1" applyFont="1" applyFill="1" applyBorder="1" applyAlignment="1">
      <alignment horizontal="right"/>
    </xf>
    <xf numFmtId="188" fontId="34" fillId="0" borderId="38" xfId="1" applyNumberFormat="1" applyFont="1" applyFill="1" applyBorder="1" applyAlignment="1">
      <alignment horizontal="center"/>
    </xf>
    <xf numFmtId="188" fontId="34" fillId="0" borderId="0" xfId="1" applyNumberFormat="1" applyFont="1" applyFill="1" applyBorder="1" applyAlignment="1">
      <alignment horizontal="center"/>
    </xf>
    <xf numFmtId="188" fontId="34" fillId="0" borderId="4" xfId="1" applyNumberFormat="1" applyFont="1" applyFill="1" applyBorder="1" applyAlignment="1">
      <alignment horizontal="center"/>
    </xf>
    <xf numFmtId="0" fontId="78" fillId="0" borderId="3" xfId="1" applyFont="1" applyFill="1" applyBorder="1" applyAlignment="1">
      <alignment horizontal="left"/>
    </xf>
    <xf numFmtId="184" fontId="54" fillId="0" borderId="0" xfId="1" applyNumberFormat="1" applyFont="1" applyFill="1" applyBorder="1" applyAlignment="1">
      <alignment horizontal="center"/>
    </xf>
    <xf numFmtId="0" fontId="1" fillId="0" borderId="4" xfId="1" applyFill="1" applyBorder="1"/>
    <xf numFmtId="184" fontId="55" fillId="0" borderId="13" xfId="1" applyNumberFormat="1" applyFont="1" applyFill="1" applyBorder="1" applyAlignment="1">
      <alignment horizontal="right"/>
    </xf>
    <xf numFmtId="188" fontId="34" fillId="0" borderId="73" xfId="1" applyNumberFormat="1" applyFont="1" applyFill="1" applyBorder="1" applyAlignment="1">
      <alignment horizontal="center"/>
    </xf>
    <xf numFmtId="188" fontId="34" fillId="0" borderId="35" xfId="1" applyNumberFormat="1" applyFont="1" applyFill="1" applyBorder="1" applyAlignment="1">
      <alignment horizontal="center"/>
    </xf>
    <xf numFmtId="188" fontId="34" fillId="0" borderId="35" xfId="1" applyNumberFormat="1" applyFont="1" applyBorder="1" applyAlignment="1">
      <alignment horizontal="center"/>
    </xf>
    <xf numFmtId="188" fontId="34" fillId="0" borderId="14" xfId="1" applyNumberFormat="1" applyFont="1" applyBorder="1" applyAlignment="1">
      <alignment horizontal="center"/>
    </xf>
    <xf numFmtId="0" fontId="79" fillId="6" borderId="36" xfId="1" applyFont="1" applyFill="1" applyBorder="1"/>
    <xf numFmtId="11" fontId="34" fillId="6" borderId="38" xfId="1" applyNumberFormat="1" applyFont="1" applyFill="1" applyBorder="1" applyAlignment="1" applyProtection="1">
      <alignment horizontal="center"/>
      <protection locked="0"/>
    </xf>
    <xf numFmtId="11" fontId="34" fillId="6" borderId="0" xfId="1" applyNumberFormat="1" applyFont="1" applyFill="1" applyBorder="1" applyAlignment="1" applyProtection="1">
      <alignment horizontal="center"/>
      <protection locked="0"/>
    </xf>
    <xf numFmtId="11" fontId="34" fillId="6" borderId="4" xfId="1" applyNumberFormat="1" applyFont="1" applyFill="1" applyBorder="1" applyAlignment="1" applyProtection="1">
      <alignment horizontal="center"/>
      <protection locked="0"/>
    </xf>
    <xf numFmtId="0" fontId="54" fillId="0" borderId="15" xfId="1" applyFont="1" applyFill="1" applyBorder="1" applyAlignment="1">
      <alignment horizontal="center"/>
    </xf>
    <xf numFmtId="0" fontId="34" fillId="6" borderId="3" xfId="1" applyFont="1" applyFill="1" applyBorder="1"/>
    <xf numFmtId="0" fontId="55" fillId="0" borderId="3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center"/>
    </xf>
    <xf numFmtId="0" fontId="55" fillId="0" borderId="13" xfId="1" applyFont="1" applyFill="1" applyBorder="1" applyAlignment="1">
      <alignment horizontal="left"/>
    </xf>
    <xf numFmtId="0" fontId="54" fillId="0" borderId="35" xfId="1" quotePrefix="1" applyFont="1" applyFill="1" applyBorder="1" applyAlignment="1">
      <alignment horizontal="center"/>
    </xf>
    <xf numFmtId="0" fontId="1" fillId="0" borderId="14" xfId="1" applyFill="1" applyBorder="1"/>
    <xf numFmtId="0" fontId="34" fillId="6" borderId="82" xfId="1" applyFont="1" applyFill="1" applyBorder="1" applyAlignment="1">
      <alignment horizontal="right"/>
    </xf>
    <xf numFmtId="11" fontId="34" fillId="6" borderId="83" xfId="1" applyNumberFormat="1" applyFont="1" applyFill="1" applyBorder="1" applyAlignment="1" applyProtection="1">
      <alignment horizontal="center"/>
      <protection locked="0"/>
    </xf>
    <xf numFmtId="11" fontId="34" fillId="6" borderId="84" xfId="1" applyNumberFormat="1" applyFont="1" applyFill="1" applyBorder="1" applyAlignment="1" applyProtection="1">
      <alignment horizontal="center"/>
      <protection locked="0"/>
    </xf>
    <xf numFmtId="11" fontId="34" fillId="6" borderId="85" xfId="1" applyNumberFormat="1" applyFont="1" applyFill="1" applyBorder="1" applyAlignment="1" applyProtection="1">
      <alignment horizontal="center"/>
      <protection locked="0"/>
    </xf>
    <xf numFmtId="0" fontId="54" fillId="7" borderId="36" xfId="1" applyFont="1" applyFill="1" applyBorder="1" applyAlignment="1">
      <alignment horizontal="right"/>
    </xf>
    <xf numFmtId="11" fontId="34" fillId="7" borderId="81" xfId="1" applyNumberFormat="1" applyFont="1" applyFill="1" applyBorder="1" applyAlignment="1" applyProtection="1">
      <alignment horizontal="center"/>
      <protection locked="0"/>
    </xf>
    <xf numFmtId="11" fontId="34" fillId="7" borderId="15" xfId="1" applyNumberFormat="1" applyFont="1" applyFill="1" applyBorder="1" applyAlignment="1" applyProtection="1">
      <alignment horizontal="center"/>
      <protection locked="0"/>
    </xf>
    <xf numFmtId="11" fontId="34" fillId="7" borderId="37" xfId="1" applyNumberFormat="1" applyFont="1" applyFill="1" applyBorder="1" applyAlignment="1" applyProtection="1">
      <alignment horizontal="center"/>
      <protection locked="0"/>
    </xf>
    <xf numFmtId="0" fontId="54" fillId="7" borderId="3" xfId="1" applyFont="1" applyFill="1" applyBorder="1" applyAlignment="1">
      <alignment horizontal="right"/>
    </xf>
    <xf numFmtId="11" fontId="34" fillId="7" borderId="38" xfId="1" applyNumberFormat="1" applyFont="1" applyFill="1" applyBorder="1" applyAlignment="1" applyProtection="1">
      <alignment horizontal="center"/>
      <protection locked="0"/>
    </xf>
    <xf numFmtId="11" fontId="34" fillId="7" borderId="0" xfId="1" applyNumberFormat="1" applyFont="1" applyFill="1" applyBorder="1" applyAlignment="1" applyProtection="1">
      <alignment horizontal="center"/>
      <protection locked="0"/>
    </xf>
    <xf numFmtId="11" fontId="34" fillId="7" borderId="4" xfId="1" applyNumberFormat="1" applyFont="1" applyFill="1" applyBorder="1" applyAlignment="1" applyProtection="1">
      <alignment horizontal="center"/>
      <protection locked="0"/>
    </xf>
    <xf numFmtId="11" fontId="80" fillId="7" borderId="38" xfId="1" applyNumberFormat="1" applyFont="1" applyFill="1" applyBorder="1" applyAlignment="1" applyProtection="1">
      <alignment horizontal="center"/>
      <protection locked="0"/>
    </xf>
    <xf numFmtId="11" fontId="80" fillId="7" borderId="0" xfId="1" applyNumberFormat="1" applyFont="1" applyFill="1" applyBorder="1" applyAlignment="1" applyProtection="1">
      <alignment horizontal="center"/>
      <protection locked="0"/>
    </xf>
    <xf numFmtId="11" fontId="80" fillId="7" borderId="4" xfId="1" applyNumberFormat="1" applyFont="1" applyFill="1" applyBorder="1" applyAlignment="1" applyProtection="1">
      <alignment horizontal="center"/>
      <protection locked="0"/>
    </xf>
    <xf numFmtId="0" fontId="61" fillId="8" borderId="36" xfId="1" applyFont="1" applyFill="1" applyBorder="1" applyAlignment="1">
      <alignment horizontal="right"/>
    </xf>
    <xf numFmtId="180" fontId="34" fillId="8" borderId="81" xfId="1" applyNumberFormat="1" applyFont="1" applyFill="1" applyBorder="1" applyAlignment="1">
      <alignment horizontal="center"/>
    </xf>
    <xf numFmtId="180" fontId="34" fillId="8" borderId="15" xfId="1" applyNumberFormat="1" applyFont="1" applyFill="1" applyBorder="1" applyAlignment="1">
      <alignment horizontal="center"/>
    </xf>
    <xf numFmtId="180" fontId="34" fillId="8" borderId="37" xfId="1" applyNumberFormat="1" applyFont="1" applyFill="1" applyBorder="1" applyAlignment="1">
      <alignment horizontal="center"/>
    </xf>
    <xf numFmtId="0" fontId="82" fillId="0" borderId="36" xfId="1" applyFont="1" applyFill="1" applyBorder="1" applyAlignment="1">
      <alignment horizontal="center" vertical="top"/>
    </xf>
    <xf numFmtId="0" fontId="29" fillId="0" borderId="15" xfId="1" applyFont="1" applyFill="1" applyBorder="1" applyAlignment="1">
      <alignment horizontal="center"/>
    </xf>
    <xf numFmtId="0" fontId="61" fillId="8" borderId="3" xfId="1" applyFont="1" applyFill="1" applyBorder="1" applyAlignment="1">
      <alignment horizontal="right"/>
    </xf>
    <xf numFmtId="180" fontId="34" fillId="8" borderId="38" xfId="1" applyNumberFormat="1" applyFont="1" applyFill="1" applyBorder="1" applyAlignment="1">
      <alignment horizontal="center"/>
    </xf>
    <xf numFmtId="180" fontId="34" fillId="8" borderId="0" xfId="1" applyNumberFormat="1" applyFont="1" applyFill="1" applyBorder="1" applyAlignment="1">
      <alignment horizontal="center"/>
    </xf>
    <xf numFmtId="180" fontId="34" fillId="8" borderId="4" xfId="1" applyNumberFormat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top"/>
    </xf>
    <xf numFmtId="0" fontId="9" fillId="0" borderId="0" xfId="1" quotePrefix="1" applyFont="1" applyFill="1" applyBorder="1" applyAlignment="1">
      <alignment horizontal="center"/>
    </xf>
    <xf numFmtId="0" fontId="55" fillId="8" borderId="3" xfId="1" applyFont="1" applyFill="1" applyBorder="1" applyAlignment="1">
      <alignment horizontal="right"/>
    </xf>
    <xf numFmtId="192" fontId="34" fillId="8" borderId="38" xfId="1" applyNumberFormat="1" applyFont="1" applyFill="1" applyBorder="1" applyAlignment="1" applyProtection="1">
      <alignment horizontal="center"/>
      <protection locked="0"/>
    </xf>
    <xf numFmtId="192" fontId="34" fillId="8" borderId="0" xfId="1" applyNumberFormat="1" applyFont="1" applyFill="1" applyBorder="1" applyAlignment="1" applyProtection="1">
      <alignment horizontal="center"/>
      <protection locked="0"/>
    </xf>
    <xf numFmtId="192" fontId="34" fillId="8" borderId="4" xfId="1" applyNumberFormat="1" applyFont="1" applyFill="1" applyBorder="1" applyAlignment="1" applyProtection="1">
      <alignment horizontal="center"/>
      <protection locked="0"/>
    </xf>
    <xf numFmtId="0" fontId="85" fillId="0" borderId="3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center"/>
    </xf>
    <xf numFmtId="0" fontId="55" fillId="8" borderId="13" xfId="1" applyFont="1" applyFill="1" applyBorder="1" applyAlignment="1">
      <alignment horizontal="right"/>
    </xf>
    <xf numFmtId="192" fontId="34" fillId="8" borderId="73" xfId="1" applyNumberFormat="1" applyFont="1" applyFill="1" applyBorder="1" applyAlignment="1" applyProtection="1">
      <alignment horizontal="center"/>
      <protection locked="0"/>
    </xf>
    <xf numFmtId="192" fontId="34" fillId="8" borderId="35" xfId="1" applyNumberFormat="1" applyFont="1" applyFill="1" applyBorder="1" applyAlignment="1" applyProtection="1">
      <alignment horizontal="center"/>
      <protection locked="0"/>
    </xf>
    <xf numFmtId="192" fontId="34" fillId="8" borderId="14" xfId="1" applyNumberFormat="1" applyFont="1" applyFill="1" applyBorder="1" applyAlignment="1" applyProtection="1">
      <alignment horizontal="center"/>
      <protection locked="0"/>
    </xf>
    <xf numFmtId="192" fontId="51" fillId="0" borderId="33" xfId="1" applyNumberFormat="1" applyFont="1" applyFill="1" applyBorder="1" applyAlignment="1">
      <alignment horizontal="center"/>
    </xf>
    <xf numFmtId="0" fontId="86" fillId="0" borderId="33" xfId="1" applyFont="1" applyFill="1" applyBorder="1" applyAlignment="1">
      <alignment horizontal="center"/>
    </xf>
    <xf numFmtId="0" fontId="87" fillId="0" borderId="3" xfId="1" applyFont="1" applyFill="1" applyBorder="1" applyAlignment="1">
      <alignment horizontal="left"/>
    </xf>
    <xf numFmtId="0" fontId="34" fillId="9" borderId="36" xfId="1" applyFont="1" applyFill="1" applyBorder="1" applyAlignment="1">
      <alignment horizontal="left"/>
    </xf>
    <xf numFmtId="0" fontId="34" fillId="9" borderId="81" xfId="1" applyNumberFormat="1" applyFont="1" applyFill="1" applyBorder="1" applyAlignment="1">
      <alignment horizontal="center"/>
    </xf>
    <xf numFmtId="2" fontId="34" fillId="9" borderId="15" xfId="1" applyNumberFormat="1" applyFont="1" applyFill="1" applyBorder="1" applyAlignment="1">
      <alignment horizontal="center"/>
    </xf>
    <xf numFmtId="2" fontId="34" fillId="9" borderId="37" xfId="1" applyNumberFormat="1" applyFont="1" applyFill="1" applyBorder="1" applyAlignment="1">
      <alignment horizontal="center"/>
    </xf>
    <xf numFmtId="0" fontId="8" fillId="9" borderId="3" xfId="1" applyFont="1" applyFill="1" applyBorder="1" applyAlignment="1">
      <alignment horizontal="center"/>
    </xf>
    <xf numFmtId="0" fontId="47" fillId="9" borderId="38" xfId="1" applyFont="1" applyFill="1" applyBorder="1" applyAlignment="1">
      <alignment horizontal="center"/>
    </xf>
    <xf numFmtId="180" fontId="47" fillId="9" borderId="0" xfId="1" applyNumberFormat="1" applyFont="1" applyFill="1" applyBorder="1" applyAlignment="1">
      <alignment horizontal="center"/>
    </xf>
    <xf numFmtId="180" fontId="47" fillId="9" borderId="4" xfId="1" applyNumberFormat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9" borderId="13" xfId="1" applyFont="1" applyFill="1" applyBorder="1" applyAlignment="1">
      <alignment horizontal="center"/>
    </xf>
    <xf numFmtId="0" fontId="52" fillId="9" borderId="73" xfId="1" applyFont="1" applyFill="1" applyBorder="1" applyAlignment="1">
      <alignment horizontal="center"/>
    </xf>
    <xf numFmtId="180" fontId="52" fillId="9" borderId="35" xfId="1" applyNumberFormat="1" applyFont="1" applyFill="1" applyBorder="1" applyAlignment="1">
      <alignment horizontal="center"/>
    </xf>
    <xf numFmtId="180" fontId="52" fillId="9" borderId="14" xfId="1" applyNumberFormat="1" applyFont="1" applyFill="1" applyBorder="1" applyAlignment="1">
      <alignment horizontal="center"/>
    </xf>
    <xf numFmtId="0" fontId="54" fillId="0" borderId="35" xfId="1" applyFont="1" applyFill="1" applyBorder="1" applyAlignment="1">
      <alignment horizontal="center"/>
    </xf>
    <xf numFmtId="184" fontId="54" fillId="0" borderId="0" xfId="1" applyNumberFormat="1" applyFont="1" applyAlignment="1">
      <alignment horizontal="center"/>
    </xf>
    <xf numFmtId="0" fontId="34" fillId="9" borderId="36" xfId="1" applyFont="1" applyFill="1" applyBorder="1"/>
    <xf numFmtId="9" fontId="34" fillId="9" borderId="81" xfId="2" applyFont="1" applyFill="1" applyBorder="1"/>
    <xf numFmtId="9" fontId="34" fillId="9" borderId="15" xfId="2" applyFont="1" applyFill="1" applyBorder="1"/>
    <xf numFmtId="9" fontId="34" fillId="9" borderId="37" xfId="2" applyFont="1" applyFill="1" applyBorder="1"/>
    <xf numFmtId="0" fontId="55" fillId="0" borderId="3" xfId="1" applyFont="1" applyFill="1" applyBorder="1"/>
    <xf numFmtId="184" fontId="34" fillId="9" borderId="3" xfId="1" applyNumberFormat="1" applyFont="1" applyFill="1" applyBorder="1" applyAlignment="1">
      <alignment horizontal="center"/>
    </xf>
    <xf numFmtId="9" fontId="34" fillId="9" borderId="38" xfId="2" applyFont="1" applyFill="1" applyBorder="1"/>
    <xf numFmtId="9" fontId="34" fillId="9" borderId="0" xfId="2" applyFont="1" applyFill="1" applyBorder="1"/>
    <xf numFmtId="9" fontId="34" fillId="9" borderId="4" xfId="2" applyFont="1" applyFill="1" applyBorder="1"/>
    <xf numFmtId="184" fontId="34" fillId="9" borderId="13" xfId="1" applyNumberFormat="1" applyFont="1" applyFill="1" applyBorder="1" applyAlignment="1">
      <alignment horizontal="center"/>
    </xf>
    <xf numFmtId="9" fontId="34" fillId="9" borderId="73" xfId="2" applyFont="1" applyFill="1" applyBorder="1"/>
    <xf numFmtId="9" fontId="34" fillId="9" borderId="35" xfId="2" applyFont="1" applyFill="1" applyBorder="1"/>
    <xf numFmtId="9" fontId="34" fillId="9" borderId="14" xfId="2" applyFont="1" applyFill="1" applyBorder="1"/>
    <xf numFmtId="184" fontId="34" fillId="9" borderId="74" xfId="1" applyNumberFormat="1" applyFont="1" applyFill="1" applyBorder="1" applyAlignment="1">
      <alignment horizontal="left"/>
    </xf>
    <xf numFmtId="0" fontId="55" fillId="0" borderId="74" xfId="1" applyFont="1" applyFill="1" applyBorder="1"/>
    <xf numFmtId="184" fontId="54" fillId="0" borderId="57" xfId="1" applyNumberFormat="1" applyFont="1" applyFill="1" applyBorder="1" applyAlignment="1">
      <alignment horizontal="center"/>
    </xf>
    <xf numFmtId="0" fontId="1" fillId="0" borderId="72" xfId="1" applyFill="1" applyBorder="1"/>
    <xf numFmtId="0" fontId="55" fillId="0" borderId="13" xfId="1" applyFont="1" applyFill="1" applyBorder="1"/>
    <xf numFmtId="184" fontId="54" fillId="0" borderId="35" xfId="1" applyNumberFormat="1" applyFont="1" applyFill="1" applyBorder="1" applyAlignment="1">
      <alignment horizontal="center"/>
    </xf>
    <xf numFmtId="0" fontId="34" fillId="4" borderId="32" xfId="1" applyFont="1" applyFill="1" applyBorder="1"/>
    <xf numFmtId="0" fontId="34" fillId="4" borderId="33" xfId="1" applyFont="1" applyFill="1" applyBorder="1"/>
    <xf numFmtId="0" fontId="34" fillId="0" borderId="33" xfId="1" applyFont="1" applyFill="1" applyBorder="1"/>
    <xf numFmtId="0" fontId="34" fillId="0" borderId="33" xfId="1" applyFont="1" applyBorder="1"/>
    <xf numFmtId="0" fontId="34" fillId="0" borderId="34" xfId="1" applyFont="1" applyBorder="1"/>
    <xf numFmtId="0" fontId="34" fillId="10" borderId="3" xfId="1" applyFont="1" applyFill="1" applyBorder="1"/>
    <xf numFmtId="11" fontId="34" fillId="10" borderId="3" xfId="1" applyNumberFormat="1" applyFont="1" applyFill="1" applyBorder="1" applyAlignment="1" applyProtection="1">
      <alignment horizontal="center"/>
      <protection locked="0"/>
    </xf>
    <xf numFmtId="11" fontId="34" fillId="10" borderId="0" xfId="1" applyNumberFormat="1" applyFont="1" applyFill="1" applyBorder="1" applyAlignment="1" applyProtection="1">
      <alignment horizontal="center"/>
      <protection locked="0"/>
    </xf>
    <xf numFmtId="11" fontId="34" fillId="10" borderId="4" xfId="1" applyNumberFormat="1" applyFont="1" applyFill="1" applyBorder="1" applyAlignment="1" applyProtection="1">
      <alignment horizontal="center"/>
      <protection locked="0"/>
    </xf>
    <xf numFmtId="0" fontId="1" fillId="11" borderId="36" xfId="1" applyFill="1" applyBorder="1" applyAlignment="1">
      <alignment horizontal="left"/>
    </xf>
    <xf numFmtId="0" fontId="1" fillId="11" borderId="15" xfId="1" applyFill="1" applyBorder="1"/>
    <xf numFmtId="0" fontId="1" fillId="11" borderId="37" xfId="1" applyFill="1" applyBorder="1"/>
    <xf numFmtId="0" fontId="34" fillId="11" borderId="3" xfId="1" applyFont="1" applyFill="1" applyBorder="1"/>
    <xf numFmtId="0" fontId="1" fillId="11" borderId="0" xfId="1" applyFill="1" applyBorder="1"/>
    <xf numFmtId="0" fontId="1" fillId="11" borderId="4" xfId="1" applyFill="1" applyBorder="1"/>
    <xf numFmtId="11" fontId="34" fillId="10" borderId="13" xfId="1" applyNumberFormat="1" applyFont="1" applyFill="1" applyBorder="1" applyAlignment="1" applyProtection="1">
      <alignment horizontal="center"/>
      <protection locked="0"/>
    </xf>
    <xf numFmtId="11" fontId="34" fillId="10" borderId="35" xfId="1" applyNumberFormat="1" applyFont="1" applyFill="1" applyBorder="1" applyAlignment="1" applyProtection="1">
      <alignment horizontal="center"/>
      <protection locked="0"/>
    </xf>
    <xf numFmtId="11" fontId="34" fillId="10" borderId="14" xfId="1" applyNumberFormat="1" applyFont="1" applyFill="1" applyBorder="1" applyAlignment="1" applyProtection="1">
      <alignment horizontal="center"/>
      <protection locked="0"/>
    </xf>
    <xf numFmtId="0" fontId="34" fillId="4" borderId="74" xfId="1" applyFont="1" applyFill="1" applyBorder="1"/>
    <xf numFmtId="188" fontId="34" fillId="4" borderId="3" xfId="1" applyNumberFormat="1" applyFont="1" applyFill="1" applyBorder="1"/>
    <xf numFmtId="188" fontId="34" fillId="4" borderId="0" xfId="1" applyNumberFormat="1" applyFont="1" applyFill="1" applyBorder="1"/>
    <xf numFmtId="188" fontId="34" fillId="4" borderId="4" xfId="1" applyNumberFormat="1" applyFont="1" applyFill="1" applyBorder="1"/>
    <xf numFmtId="0" fontId="34" fillId="4" borderId="3" xfId="1" applyFont="1" applyFill="1" applyBorder="1"/>
    <xf numFmtId="0" fontId="1" fillId="4" borderId="0" xfId="1" applyFill="1" applyBorder="1"/>
    <xf numFmtId="0" fontId="1" fillId="4" borderId="4" xfId="1" applyFill="1" applyBorder="1"/>
    <xf numFmtId="0" fontId="34" fillId="4" borderId="78" xfId="1" applyFont="1" applyFill="1" applyBorder="1"/>
    <xf numFmtId="188" fontId="34" fillId="4" borderId="36" xfId="1" applyNumberFormat="1" applyFont="1" applyFill="1" applyBorder="1"/>
    <xf numFmtId="188" fontId="34" fillId="4" borderId="15" xfId="1" applyNumberFormat="1" applyFont="1" applyFill="1" applyBorder="1"/>
    <xf numFmtId="188" fontId="34" fillId="4" borderId="37" xfId="1" applyNumberFormat="1" applyFont="1" applyFill="1" applyBorder="1"/>
    <xf numFmtId="0" fontId="34" fillId="4" borderId="36" xfId="1" applyFont="1" applyFill="1" applyBorder="1"/>
    <xf numFmtId="0" fontId="1" fillId="4" borderId="15" xfId="1" applyFill="1" applyBorder="1"/>
    <xf numFmtId="0" fontId="1" fillId="4" borderId="37" xfId="1" applyFill="1" applyBorder="1"/>
    <xf numFmtId="0" fontId="34" fillId="4" borderId="13" xfId="1" applyFont="1" applyFill="1" applyBorder="1"/>
    <xf numFmtId="0" fontId="1" fillId="4" borderId="35" xfId="1" applyFill="1" applyBorder="1"/>
    <xf numFmtId="0" fontId="1" fillId="4" borderId="14" xfId="1" applyFill="1" applyBorder="1"/>
    <xf numFmtId="0" fontId="55" fillId="4" borderId="3" xfId="1" applyFont="1" applyFill="1" applyBorder="1" applyAlignment="1">
      <alignment horizontal="left"/>
    </xf>
    <xf numFmtId="0" fontId="55" fillId="4" borderId="0" xfId="1" applyFont="1" applyFill="1" applyBorder="1" applyAlignment="1">
      <alignment horizontal="center"/>
    </xf>
    <xf numFmtId="0" fontId="55" fillId="4" borderId="4" xfId="1" applyFont="1" applyFill="1" applyBorder="1" applyAlignment="1">
      <alignment horizontal="center"/>
    </xf>
    <xf numFmtId="188" fontId="34" fillId="4" borderId="13" xfId="1" applyNumberFormat="1" applyFont="1" applyFill="1" applyBorder="1"/>
    <xf numFmtId="188" fontId="34" fillId="4" borderId="35" xfId="1" applyNumberFormat="1" applyFont="1" applyFill="1" applyBorder="1"/>
    <xf numFmtId="188" fontId="34" fillId="4" borderId="14" xfId="1" applyNumberFormat="1" applyFont="1" applyFill="1" applyBorder="1"/>
    <xf numFmtId="0" fontId="55" fillId="4" borderId="35" xfId="1" applyFont="1" applyFill="1" applyBorder="1" applyAlignment="1">
      <alignment horizontal="center"/>
    </xf>
    <xf numFmtId="0" fontId="55" fillId="4" borderId="14" xfId="1" applyFont="1" applyFill="1" applyBorder="1" applyAlignment="1">
      <alignment horizontal="center"/>
    </xf>
    <xf numFmtId="0" fontId="15" fillId="0" borderId="0" xfId="1" applyFont="1"/>
    <xf numFmtId="0" fontId="1" fillId="0" borderId="0" xfId="1" applyBorder="1" applyAlignment="1">
      <alignment horizontal="center"/>
    </xf>
    <xf numFmtId="0" fontId="92" fillId="0" borderId="0" xfId="0" applyFont="1" applyAlignment="1">
      <alignment horizontal="left" wrapText="1"/>
    </xf>
    <xf numFmtId="0" fontId="91" fillId="0" borderId="0" xfId="0" applyFont="1" applyAlignment="1">
      <alignment horizontal="left" wrapText="1"/>
    </xf>
    <xf numFmtId="0" fontId="97" fillId="0" borderId="0" xfId="1" applyFont="1"/>
    <xf numFmtId="0" fontId="94" fillId="0" borderId="36" xfId="0" applyFont="1" applyFill="1" applyBorder="1"/>
    <xf numFmtId="0" fontId="94" fillId="0" borderId="3" xfId="0" applyFont="1" applyFill="1" applyBorder="1"/>
    <xf numFmtId="0" fontId="88" fillId="0" borderId="3" xfId="0" applyFont="1" applyFill="1" applyBorder="1"/>
    <xf numFmtId="0" fontId="96" fillId="0" borderId="13" xfId="0" applyFont="1" applyFill="1" applyBorder="1"/>
    <xf numFmtId="0" fontId="94" fillId="0" borderId="15" xfId="0" applyFont="1" applyFill="1" applyBorder="1"/>
    <xf numFmtId="0" fontId="94" fillId="0" borderId="86" xfId="0" applyFont="1" applyFill="1" applyBorder="1"/>
    <xf numFmtId="0" fontId="94" fillId="0" borderId="0" xfId="0" applyFont="1" applyFill="1"/>
    <xf numFmtId="0" fontId="34" fillId="0" borderId="4" xfId="0" applyFont="1" applyFill="1" applyBorder="1"/>
    <xf numFmtId="0" fontId="88" fillId="0" borderId="0" xfId="0" applyFont="1" applyFill="1"/>
    <xf numFmtId="0" fontId="88" fillId="0" borderId="87" xfId="0" applyFont="1" applyFill="1" applyBorder="1"/>
    <xf numFmtId="0" fontId="95" fillId="0" borderId="0" xfId="0" applyFont="1" applyFill="1"/>
    <xf numFmtId="0" fontId="95" fillId="0" borderId="4" xfId="0" applyFont="1" applyFill="1" applyBorder="1"/>
    <xf numFmtId="0" fontId="96" fillId="0" borderId="35" xfId="0" applyFont="1" applyFill="1" applyBorder="1"/>
    <xf numFmtId="0" fontId="95" fillId="0" borderId="14" xfId="0" applyFont="1" applyFill="1" applyBorder="1"/>
    <xf numFmtId="0" fontId="89" fillId="0" borderId="3" xfId="35" applyFill="1" applyBorder="1"/>
    <xf numFmtId="0" fontId="1" fillId="0" borderId="32" xfId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34" xfId="1" applyBorder="1" applyAlignment="1">
      <alignment horizontal="center"/>
    </xf>
    <xf numFmtId="0" fontId="91" fillId="0" borderId="0" xfId="0" applyFont="1" applyAlignment="1">
      <alignment horizontal="left" wrapText="1"/>
    </xf>
    <xf numFmtId="0" fontId="9" fillId="0" borderId="45" xfId="1" applyFont="1" applyBorder="1" applyAlignment="1">
      <alignment horizontal="center"/>
    </xf>
    <xf numFmtId="0" fontId="9" fillId="0" borderId="51" xfId="1" applyFont="1" applyBorder="1" applyAlignment="1">
      <alignment horizontal="center"/>
    </xf>
    <xf numFmtId="0" fontId="9" fillId="0" borderId="59" xfId="1" applyFont="1" applyBorder="1" applyAlignment="1">
      <alignment horizontal="center"/>
    </xf>
    <xf numFmtId="0" fontId="9" fillId="0" borderId="60" xfId="1" applyFont="1" applyBorder="1" applyAlignment="1">
      <alignment horizontal="center"/>
    </xf>
    <xf numFmtId="0" fontId="97" fillId="0" borderId="0" xfId="1" applyFont="1" applyAlignment="1">
      <alignment horizontal="left" wrapText="1"/>
    </xf>
  </cellXfs>
  <cellStyles count="37">
    <cellStyle name="パーセント 2" xfId="2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/>
    <cellStyle name="標準" xfId="0" builtinId="0"/>
    <cellStyle name="標準 2" xfId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099582010906"/>
          <c:y val="0.0588236268862242"/>
          <c:w val="0.782476764246628"/>
          <c:h val="0.669684367627783"/>
        </c:manualLayout>
      </c:layout>
      <c:scatterChart>
        <c:scatterStyle val="lineMarker"/>
        <c:varyColors val="0"/>
        <c:ser>
          <c:idx val="0"/>
          <c:order val="0"/>
          <c:tx>
            <c:v>observed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'APP-E1-1Job''s plot'!$B$34:$B$44</c:f>
              <c:numCache>
                <c:formatCode>0.00</c:formatCode>
                <c:ptCount val="11"/>
                <c:pt idx="0">
                  <c:v>1.0</c:v>
                </c:pt>
                <c:pt idx="1">
                  <c:v>0.875061289586333</c:v>
                </c:pt>
                <c:pt idx="2">
                  <c:v>0.800089661677375</c:v>
                </c:pt>
                <c:pt idx="3">
                  <c:v>0.750105075222305</c:v>
                </c:pt>
                <c:pt idx="4">
                  <c:v>0.625131353229194</c:v>
                </c:pt>
                <c:pt idx="5">
                  <c:v>0.50014011992725</c:v>
                </c:pt>
                <c:pt idx="6">
                  <c:v>0.375131371635689</c:v>
                </c:pt>
                <c:pt idx="7">
                  <c:v>0.250105104672697</c:v>
                </c:pt>
                <c:pt idx="8">
                  <c:v>0.200089691834576</c:v>
                </c:pt>
                <c:pt idx="9">
                  <c:v>0.125061315355427</c:v>
                </c:pt>
                <c:pt idx="10">
                  <c:v>0.0</c:v>
                </c:pt>
              </c:numCache>
            </c:numRef>
          </c:xVal>
          <c:yVal>
            <c:numRef>
              <c:f>'APP-E1-1Job''s plot'!$D$34:$D$44</c:f>
              <c:numCache>
                <c:formatCode>0.0000</c:formatCode>
                <c:ptCount val="11"/>
                <c:pt idx="0">
                  <c:v>0.0</c:v>
                </c:pt>
                <c:pt idx="1">
                  <c:v>0.201919573261671</c:v>
                </c:pt>
                <c:pt idx="2">
                  <c:v>0.31035503841067</c:v>
                </c:pt>
                <c:pt idx="3">
                  <c:v>0.349045348510004</c:v>
                </c:pt>
                <c:pt idx="4">
                  <c:v>0.460171123758336</c:v>
                </c:pt>
                <c:pt idx="5">
                  <c:v>0.486796899006669</c:v>
                </c:pt>
                <c:pt idx="6">
                  <c:v>0.465522674255002</c:v>
                </c:pt>
                <c:pt idx="7">
                  <c:v>0.379148449503335</c:v>
                </c:pt>
                <c:pt idx="8">
                  <c:v>0.338938759602668</c:v>
                </c:pt>
                <c:pt idx="9">
                  <c:v>0.208274224751667</c:v>
                </c:pt>
                <c:pt idx="10">
                  <c:v>0.0</c:v>
                </c:pt>
              </c:numCache>
            </c:numRef>
          </c:yVal>
          <c:smooth val="1"/>
        </c:ser>
        <c:ser>
          <c:idx val="1"/>
          <c:order val="1"/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strRef>
              <c:f>'APP-E1-1Job''s plot'!$A$33:$A$44</c:f>
              <c:strCache>
                <c:ptCount val="11"/>
                <c:pt idx="0">
                  <c:v>Run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</c:strCache>
            </c:strRef>
          </c:xVal>
          <c:yVal>
            <c:numRef>
              <c:f>'APP-E1-1Job''s plot'!$C$34:$C$44</c:f>
              <c:numCache>
                <c:formatCode>0.0000</c:formatCode>
                <c:ptCount val="11"/>
                <c:pt idx="0">
                  <c:v>0.0</c:v>
                </c:pt>
                <c:pt idx="1">
                  <c:v>0.215664005116816</c:v>
                </c:pt>
                <c:pt idx="2">
                  <c:v>0.315485630342313</c:v>
                </c:pt>
                <c:pt idx="3">
                  <c:v>0.369709723057398</c:v>
                </c:pt>
                <c:pt idx="4">
                  <c:v>0.462137153821748</c:v>
                </c:pt>
                <c:pt idx="5">
                  <c:v>0.492946297409864</c:v>
                </c:pt>
                <c:pt idx="6">
                  <c:v>0.462137153821748</c:v>
                </c:pt>
                <c:pt idx="7">
                  <c:v>0.369709723057398</c:v>
                </c:pt>
                <c:pt idx="8">
                  <c:v>0.315485630342313</c:v>
                </c:pt>
                <c:pt idx="9">
                  <c:v>0.215664005116816</c:v>
                </c:pt>
                <c:pt idx="10">
                  <c:v>0.0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'APP-E1-1Job''s plot'!$B$34:$B$44</c:f>
              <c:numCache>
                <c:formatCode>0.00</c:formatCode>
                <c:ptCount val="11"/>
                <c:pt idx="0">
                  <c:v>1.0</c:v>
                </c:pt>
                <c:pt idx="1">
                  <c:v>0.875061289586333</c:v>
                </c:pt>
                <c:pt idx="2">
                  <c:v>0.800089661677375</c:v>
                </c:pt>
                <c:pt idx="3">
                  <c:v>0.750105075222305</c:v>
                </c:pt>
                <c:pt idx="4">
                  <c:v>0.625131353229194</c:v>
                </c:pt>
                <c:pt idx="5">
                  <c:v>0.50014011992725</c:v>
                </c:pt>
                <c:pt idx="6">
                  <c:v>0.375131371635689</c:v>
                </c:pt>
                <c:pt idx="7">
                  <c:v>0.250105104672697</c:v>
                </c:pt>
                <c:pt idx="8">
                  <c:v>0.200089691834576</c:v>
                </c:pt>
                <c:pt idx="9">
                  <c:v>0.125061315355427</c:v>
                </c:pt>
                <c:pt idx="10">
                  <c:v>0.0</c:v>
                </c:pt>
              </c:numCache>
            </c:numRef>
          </c:xVal>
          <c:yVal>
            <c:numRef>
              <c:f>'APP-E1-1Job''s plot'!$C$34:$C$44</c:f>
              <c:numCache>
                <c:formatCode>0.0000</c:formatCode>
                <c:ptCount val="11"/>
                <c:pt idx="0">
                  <c:v>0.0</c:v>
                </c:pt>
                <c:pt idx="1">
                  <c:v>0.215664005116816</c:v>
                </c:pt>
                <c:pt idx="2">
                  <c:v>0.315485630342313</c:v>
                </c:pt>
                <c:pt idx="3">
                  <c:v>0.369709723057398</c:v>
                </c:pt>
                <c:pt idx="4">
                  <c:v>0.462137153821748</c:v>
                </c:pt>
                <c:pt idx="5">
                  <c:v>0.492946297409864</c:v>
                </c:pt>
                <c:pt idx="6">
                  <c:v>0.462137153821748</c:v>
                </c:pt>
                <c:pt idx="7">
                  <c:v>0.369709723057398</c:v>
                </c:pt>
                <c:pt idx="8">
                  <c:v>0.315485630342313</c:v>
                </c:pt>
                <c:pt idx="9">
                  <c:v>0.215664005116816</c:v>
                </c:pt>
                <c:pt idx="10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0716728"/>
        <c:axId val="2140718328"/>
      </c:scatterChart>
      <c:valAx>
        <c:axId val="2140716728"/>
        <c:scaling>
          <c:orientation val="minMax"/>
          <c:max val="1.0"/>
        </c:scaling>
        <c:delete val="0"/>
        <c:axPos val="b"/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ja-JP"/>
          </a:p>
        </c:txPr>
        <c:crossAx val="2140718328"/>
        <c:crosses val="autoZero"/>
        <c:crossBetween val="midCat"/>
        <c:majorUnit val="0.2"/>
      </c:valAx>
      <c:valAx>
        <c:axId val="2140718328"/>
        <c:scaling>
          <c:orientation val="minMax"/>
        </c:scaling>
        <c:delete val="0"/>
        <c:axPos val="l"/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ja-JP"/>
          </a:p>
        </c:txPr>
        <c:crossAx val="2140716728"/>
        <c:crosses val="autoZero"/>
        <c:crossBetween val="midCat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"/>
          <a:ea typeface="Times"/>
          <a:cs typeface="Times"/>
        </a:defRPr>
      </a:pPr>
      <a:endParaRPr lang="ja-JP"/>
    </a:p>
  </c:txPr>
  <c:printSettings>
    <c:headerFooter/>
    <c:pageMargins b="0.75" l="0.7" r="0.7" t="0.75" header="0.512" footer="0.512"/>
    <c:pageSetup paperSize="0" orientation="landscape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4339529519764"/>
          <c:y val="0.0430107903250223"/>
          <c:w val="0.789756632836882"/>
          <c:h val="0.8243734812295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'APP-E2 Rose-Drago '!$A$34</c:f>
              <c:strCache>
                <c:ptCount val="1"/>
                <c:pt idx="0">
                  <c:v>n=1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Dot"/>
            </a:ln>
          </c:spPr>
          <c:marker>
            <c:symbol val="none"/>
          </c:marker>
          <c:xVal>
            <c:numRef>
              <c:f>'APP-E2 Rose-Drago '!$B$33:$K$33</c:f>
              <c:numCache>
                <c:formatCode>0.0E+00</c:formatCode>
                <c:ptCount val="10"/>
                <c:pt idx="0" formatCode="General">
                  <c:v>50.0</c:v>
                </c:pt>
                <c:pt idx="1">
                  <c:v>121.3019158212827</c:v>
                </c:pt>
                <c:pt idx="2">
                  <c:v>294.2830956382712</c:v>
                </c:pt>
                <c:pt idx="3">
                  <c:v>713.9420658948012</c:v>
                </c:pt>
                <c:pt idx="4">
                  <c:v>1732.050807568877</c:v>
                </c:pt>
                <c:pt idx="5">
                  <c:v>4202.021625158093</c:v>
                </c:pt>
                <c:pt idx="6">
                  <c:v>10194.26546908273</c:v>
                </c:pt>
                <c:pt idx="7">
                  <c:v>24731.67863580966</c:v>
                </c:pt>
                <c:pt idx="8">
                  <c:v>42365.83931790482</c:v>
                </c:pt>
                <c:pt idx="9">
                  <c:v>60000.0</c:v>
                </c:pt>
              </c:numCache>
            </c:numRef>
          </c:xVal>
          <c:yVal>
            <c:numRef>
              <c:f>'APP-E2 Rose-Drago '!$B$34:$K$34</c:f>
              <c:numCache>
                <c:formatCode>0.0E+00</c:formatCode>
                <c:ptCount val="10"/>
                <c:pt idx="0">
                  <c:v>-0.00901176306694006</c:v>
                </c:pt>
                <c:pt idx="1">
                  <c:v>-0.0163264514541905</c:v>
                </c:pt>
                <c:pt idx="2">
                  <c:v>-0.0192484866490964</c:v>
                </c:pt>
                <c:pt idx="3">
                  <c:v>-0.0202272148633476</c:v>
                </c:pt>
                <c:pt idx="4">
                  <c:v>-0.0200830383453598</c:v>
                </c:pt>
                <c:pt idx="5">
                  <c:v>-0.0186951035856461</c:v>
                </c:pt>
                <c:pt idx="6">
                  <c:v>-0.0148999979217911</c:v>
                </c:pt>
                <c:pt idx="7">
                  <c:v>-0.00551653869831833</c:v>
                </c:pt>
                <c:pt idx="8">
                  <c:v>0.00589903299190123</c:v>
                </c:pt>
                <c:pt idx="9">
                  <c:v>0.0173207988880417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'APP-E2 Rose-Drago '!$A$35</c:f>
              <c:strCache>
                <c:ptCount val="1"/>
                <c:pt idx="0">
                  <c:v>n=2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'APP-E2 Rose-Drago '!$B$33:$K$33</c:f>
              <c:numCache>
                <c:formatCode>0.0E+00</c:formatCode>
                <c:ptCount val="10"/>
                <c:pt idx="0" formatCode="General">
                  <c:v>50.0</c:v>
                </c:pt>
                <c:pt idx="1">
                  <c:v>121.3019158212827</c:v>
                </c:pt>
                <c:pt idx="2">
                  <c:v>294.2830956382712</c:v>
                </c:pt>
                <c:pt idx="3">
                  <c:v>713.9420658948012</c:v>
                </c:pt>
                <c:pt idx="4">
                  <c:v>1732.050807568877</c:v>
                </c:pt>
                <c:pt idx="5">
                  <c:v>4202.021625158093</c:v>
                </c:pt>
                <c:pt idx="6">
                  <c:v>10194.26546908273</c:v>
                </c:pt>
                <c:pt idx="7">
                  <c:v>24731.67863580966</c:v>
                </c:pt>
                <c:pt idx="8">
                  <c:v>42365.83931790482</c:v>
                </c:pt>
                <c:pt idx="9">
                  <c:v>60000.0</c:v>
                </c:pt>
              </c:numCache>
            </c:numRef>
          </c:xVal>
          <c:yVal>
            <c:numRef>
              <c:f>'APP-E2 Rose-Drago '!$B$35:$K$35</c:f>
              <c:numCache>
                <c:formatCode>0.0E+00</c:formatCode>
                <c:ptCount val="10"/>
                <c:pt idx="0">
                  <c:v>-0.0044254779286927</c:v>
                </c:pt>
                <c:pt idx="1">
                  <c:v>-0.011282499547461</c:v>
                </c:pt>
                <c:pt idx="2">
                  <c:v>-0.0140344214114464</c:v>
                </c:pt>
                <c:pt idx="3">
                  <c:v>-0.0149879951313652</c:v>
                </c:pt>
                <c:pt idx="4">
                  <c:v>-0.0149425376293825</c:v>
                </c:pt>
                <c:pt idx="5">
                  <c:v>-0.0138599449290409</c:v>
                </c:pt>
                <c:pt idx="6">
                  <c:v>-0.0108327521462736</c:v>
                </c:pt>
                <c:pt idx="7">
                  <c:v>-0.0033234665132137</c:v>
                </c:pt>
                <c:pt idx="8">
                  <c:v>0.00581658742493023</c:v>
                </c:pt>
                <c:pt idx="9">
                  <c:v>0.014962442696496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'APP-E2 Rose-Drago '!$A$36</c:f>
              <c:strCache>
                <c:ptCount val="1"/>
                <c:pt idx="0">
                  <c:v>n=3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'APP-E2 Rose-Drago '!$B$33:$K$33</c:f>
              <c:numCache>
                <c:formatCode>0.0E+00</c:formatCode>
                <c:ptCount val="10"/>
                <c:pt idx="0" formatCode="General">
                  <c:v>50.0</c:v>
                </c:pt>
                <c:pt idx="1">
                  <c:v>121.3019158212827</c:v>
                </c:pt>
                <c:pt idx="2">
                  <c:v>294.2830956382712</c:v>
                </c:pt>
                <c:pt idx="3">
                  <c:v>713.9420658948012</c:v>
                </c:pt>
                <c:pt idx="4">
                  <c:v>1732.050807568877</c:v>
                </c:pt>
                <c:pt idx="5">
                  <c:v>4202.021625158093</c:v>
                </c:pt>
                <c:pt idx="6">
                  <c:v>10194.26546908273</c:v>
                </c:pt>
                <c:pt idx="7">
                  <c:v>24731.67863580966</c:v>
                </c:pt>
                <c:pt idx="8">
                  <c:v>42365.83931790482</c:v>
                </c:pt>
                <c:pt idx="9">
                  <c:v>60000.0</c:v>
                </c:pt>
              </c:numCache>
            </c:numRef>
          </c:xVal>
          <c:yVal>
            <c:numRef>
              <c:f>'APP-E2 Rose-Drago '!$B$36:$K$36</c:f>
              <c:numCache>
                <c:formatCode>0.0E+00</c:formatCode>
                <c:ptCount val="10"/>
                <c:pt idx="0">
                  <c:v>-0.000237429614596579</c:v>
                </c:pt>
                <c:pt idx="1">
                  <c:v>-0.00640317565348094</c:v>
                </c:pt>
                <c:pt idx="2">
                  <c:v>-0.00888937200162836</c:v>
                </c:pt>
                <c:pt idx="3">
                  <c:v>-0.00978003038397227</c:v>
                </c:pt>
                <c:pt idx="4">
                  <c:v>-0.00982173001301053</c:v>
                </c:pt>
                <c:pt idx="5">
                  <c:v>-0.00904942489223763</c:v>
                </c:pt>
                <c:pt idx="6">
                  <c:v>-0.00681574341397012</c:v>
                </c:pt>
                <c:pt idx="7">
                  <c:v>-0.0012483401401879</c:v>
                </c:pt>
                <c:pt idx="8">
                  <c:v>0.00553300706112845</c:v>
                </c:pt>
                <c:pt idx="9">
                  <c:v>0.0123195658567862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'APP-E2 Rose-Drago '!$A$37</c:f>
              <c:strCache>
                <c:ptCount val="1"/>
                <c:pt idx="0">
                  <c:v>n=4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'APP-E2 Rose-Drago '!$B$33:$K$33</c:f>
              <c:numCache>
                <c:formatCode>0.0E+00</c:formatCode>
                <c:ptCount val="10"/>
                <c:pt idx="0" formatCode="General">
                  <c:v>50.0</c:v>
                </c:pt>
                <c:pt idx="1">
                  <c:v>121.3019158212827</c:v>
                </c:pt>
                <c:pt idx="2">
                  <c:v>294.2830956382712</c:v>
                </c:pt>
                <c:pt idx="3">
                  <c:v>713.9420658948012</c:v>
                </c:pt>
                <c:pt idx="4">
                  <c:v>1732.050807568877</c:v>
                </c:pt>
                <c:pt idx="5">
                  <c:v>4202.021625158093</c:v>
                </c:pt>
                <c:pt idx="6">
                  <c:v>10194.26546908273</c:v>
                </c:pt>
                <c:pt idx="7">
                  <c:v>24731.67863580966</c:v>
                </c:pt>
                <c:pt idx="8">
                  <c:v>42365.83931790482</c:v>
                </c:pt>
                <c:pt idx="9">
                  <c:v>60000.0</c:v>
                </c:pt>
              </c:numCache>
            </c:numRef>
          </c:xVal>
          <c:yVal>
            <c:numRef>
              <c:f>'APP-E2 Rose-Drago '!$B$37:$K$37</c:f>
              <c:numCache>
                <c:formatCode>0.0E+00</c:formatCode>
                <c:ptCount val="10"/>
                <c:pt idx="0">
                  <c:v>0.00170351381577572</c:v>
                </c:pt>
                <c:pt idx="1">
                  <c:v>-0.00371107901295106</c:v>
                </c:pt>
                <c:pt idx="2">
                  <c:v>-0.00589885412012465</c:v>
                </c:pt>
                <c:pt idx="3">
                  <c:v>-0.00669367671042395</c:v>
                </c:pt>
                <c:pt idx="4">
                  <c:v>-0.00676179327667321</c:v>
                </c:pt>
                <c:pt idx="5">
                  <c:v>-0.00616030136984882</c:v>
                </c:pt>
                <c:pt idx="6">
                  <c:v>-0.00438501064826333</c:v>
                </c:pt>
                <c:pt idx="7">
                  <c:v>5.21860851301036E-5</c:v>
                </c:pt>
                <c:pt idx="8">
                  <c:v>0.00545915232598144</c:v>
                </c:pt>
                <c:pt idx="9">
                  <c:v>0.010870693383845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'APP-E2 Rose-Drago '!$A$38</c:f>
              <c:strCache>
                <c:ptCount val="1"/>
                <c:pt idx="0">
                  <c:v>n=5</c:v>
                </c:pt>
              </c:strCache>
            </c:strRef>
          </c:tx>
          <c:spPr>
            <a:ln w="12700">
              <a:solidFill>
                <a:srgbClr val="006411"/>
              </a:solidFill>
              <a:prstDash val="sysDash"/>
            </a:ln>
          </c:spPr>
          <c:marker>
            <c:symbol val="none"/>
          </c:marker>
          <c:xVal>
            <c:numRef>
              <c:f>'APP-E2 Rose-Drago '!$B$33:$K$33</c:f>
              <c:numCache>
                <c:formatCode>0.0E+00</c:formatCode>
                <c:ptCount val="10"/>
                <c:pt idx="0" formatCode="General">
                  <c:v>50.0</c:v>
                </c:pt>
                <c:pt idx="1">
                  <c:v>121.3019158212827</c:v>
                </c:pt>
                <c:pt idx="2">
                  <c:v>294.2830956382712</c:v>
                </c:pt>
                <c:pt idx="3">
                  <c:v>713.9420658948012</c:v>
                </c:pt>
                <c:pt idx="4">
                  <c:v>1732.050807568877</c:v>
                </c:pt>
                <c:pt idx="5">
                  <c:v>4202.021625158093</c:v>
                </c:pt>
                <c:pt idx="6">
                  <c:v>10194.26546908273</c:v>
                </c:pt>
                <c:pt idx="7">
                  <c:v>24731.67863580966</c:v>
                </c:pt>
                <c:pt idx="8">
                  <c:v>42365.83931790482</c:v>
                </c:pt>
                <c:pt idx="9">
                  <c:v>60000.0</c:v>
                </c:pt>
              </c:numCache>
            </c:numRef>
          </c:xVal>
          <c:yVal>
            <c:numRef>
              <c:f>'APP-E2 Rose-Drago '!$B$38:$K$38</c:f>
              <c:numCache>
                <c:formatCode>0.0E+00</c:formatCode>
                <c:ptCount val="10"/>
                <c:pt idx="0">
                  <c:v>0.00270456042392156</c:v>
                </c:pt>
                <c:pt idx="1">
                  <c:v>-0.00140619502448348</c:v>
                </c:pt>
                <c:pt idx="2">
                  <c:v>-0.00306743912814451</c:v>
                </c:pt>
                <c:pt idx="3">
                  <c:v>-0.00367168144994697</c:v>
                </c:pt>
                <c:pt idx="4">
                  <c:v>-0.00372541782006761</c:v>
                </c:pt>
                <c:pt idx="5">
                  <c:v>-0.00327369183511141</c:v>
                </c:pt>
                <c:pt idx="6">
                  <c:v>-0.0019378518854389</c:v>
                </c:pt>
                <c:pt idx="7">
                  <c:v>0.00140184710452547</c:v>
                </c:pt>
                <c:pt idx="8">
                  <c:v>0.00547161246597596</c:v>
                </c:pt>
                <c:pt idx="9">
                  <c:v>0.00954485090583685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784376"/>
        <c:axId val="2137787928"/>
      </c:scatterChart>
      <c:valAx>
        <c:axId val="2137784376"/>
        <c:scaling>
          <c:orientation val="minMax"/>
          <c:max val="60000.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ja-JP"/>
          </a:p>
        </c:txPr>
        <c:crossAx val="2137787928"/>
        <c:crosses val="autoZero"/>
        <c:crossBetween val="midCat"/>
      </c:valAx>
      <c:valAx>
        <c:axId val="2137787928"/>
        <c:scaling>
          <c:orientation val="minMax"/>
          <c:min val="-0.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rPr>
                  <a:t>1/</a:t>
                </a:r>
                <a:r>
                  <a:rPr lang="en-US" altLang="ja-JP" sz="1200" b="0" i="0" u="none" strike="noStrike" baseline="0">
                    <a:latin typeface="ＭＳ Ｐゴシック"/>
                    <a:ea typeface="ＭＳ Ｐゴシック"/>
                    <a:cs typeface="ＭＳ Ｐゴシック"/>
                  </a:rPr>
                  <a:t>K</a:t>
                </a:r>
              </a:p>
            </c:rich>
          </c:tx>
          <c:layout>
            <c:manualLayout>
              <c:xMode val="edge"/>
              <c:yMode val="edge"/>
              <c:x val="0.0161725067385445"/>
              <c:y val="0.4014339739790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ja-JP"/>
          </a:p>
        </c:txPr>
        <c:crossAx val="2137784376"/>
        <c:crosses val="autoZero"/>
        <c:crossBetween val="midCat"/>
        <c:majorUnit val="0.0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374450835155"/>
          <c:y val="0.0896057347670251"/>
          <c:w val="0.19676528641467"/>
          <c:h val="0.2795701746959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>
      <c:oddHeader>&amp;A</c:oddHeader>
      <c:oddFooter>- &amp;P -</c:oddFooter>
    </c:headerFooter>
    <c:pageMargins b="0.75" l="0.7" r="0.7" t="0.75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738103556168"/>
          <c:y val="0.102362204724409"/>
          <c:w val="0.753292613167381"/>
          <c:h val="0.779526435153123"/>
        </c:manualLayout>
      </c:layout>
      <c:scatterChart>
        <c:scatterStyle val="lineMarker"/>
        <c:varyColors val="0"/>
        <c:ser>
          <c:idx val="0"/>
          <c:order val="0"/>
          <c:tx>
            <c:strRef>
              <c:f>'APP-E3 1to2 CompAnal'!$B$37</c:f>
              <c:strCache>
                <c:ptCount val="1"/>
                <c:pt idx="0">
                  <c:v>Calcd. (calcd y's)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'APP-E3 1to2 CompAnal'!$C$36:$R$36</c:f>
              <c:numCache>
                <c:formatCode>0.00</c:formatCode>
                <c:ptCount val="16"/>
                <c:pt idx="0">
                  <c:v>0.0</c:v>
                </c:pt>
                <c:pt idx="1">
                  <c:v>0.254027838182111</c:v>
                </c:pt>
                <c:pt idx="2">
                  <c:v>0.508055676364223</c:v>
                </c:pt>
                <c:pt idx="3">
                  <c:v>0.762083514546334</c:v>
                </c:pt>
                <c:pt idx="4">
                  <c:v>1.016111352728446</c:v>
                </c:pt>
                <c:pt idx="5">
                  <c:v>1.270139190910557</c:v>
                </c:pt>
                <c:pt idx="6">
                  <c:v>1.524167029092668</c:v>
                </c:pt>
                <c:pt idx="7">
                  <c:v>1.77819486727478</c:v>
                </c:pt>
                <c:pt idx="8">
                  <c:v>2.032222705456891</c:v>
                </c:pt>
                <c:pt idx="9">
                  <c:v>2.286250543639002</c:v>
                </c:pt>
                <c:pt idx="10">
                  <c:v>2.540278381821114</c:v>
                </c:pt>
                <c:pt idx="11">
                  <c:v>3.048334058185336</c:v>
                </c:pt>
                <c:pt idx="12">
                  <c:v>3.556389734549559</c:v>
                </c:pt>
                <c:pt idx="13">
                  <c:v>4.064445410913782</c:v>
                </c:pt>
                <c:pt idx="14">
                  <c:v>4.572501087278005</c:v>
                </c:pt>
                <c:pt idx="15">
                  <c:v>5.080556763642226</c:v>
                </c:pt>
              </c:numCache>
            </c:numRef>
          </c:xVal>
          <c:yVal>
            <c:numRef>
              <c:f>'APP-E3 1to2 CompAnal'!$C$37:$R$37</c:f>
              <c:numCache>
                <c:formatCode>0.00000</c:formatCode>
                <c:ptCount val="16"/>
                <c:pt idx="0">
                  <c:v>8.085485664819277</c:v>
                </c:pt>
                <c:pt idx="1">
                  <c:v>8.275273856333315</c:v>
                </c:pt>
                <c:pt idx="2">
                  <c:v>8.535812950127034</c:v>
                </c:pt>
                <c:pt idx="3">
                  <c:v>8.803694318073604</c:v>
                </c:pt>
                <c:pt idx="4">
                  <c:v>9.067010953177403</c:v>
                </c:pt>
                <c:pt idx="5">
                  <c:v>9.320079524264993</c:v>
                </c:pt>
                <c:pt idx="6">
                  <c:v>9.5590895535243</c:v>
                </c:pt>
                <c:pt idx="7">
                  <c:v>9.781089715724593</c:v>
                </c:pt>
                <c:pt idx="8">
                  <c:v>9.9837736681566</c:v>
                </c:pt>
                <c:pt idx="9">
                  <c:v>10.16554569617803</c:v>
                </c:pt>
                <c:pt idx="10">
                  <c:v>10.32566644749131</c:v>
                </c:pt>
                <c:pt idx="11">
                  <c:v>10.58270162204004</c:v>
                </c:pt>
                <c:pt idx="12">
                  <c:v>10.76615316905435</c:v>
                </c:pt>
                <c:pt idx="13">
                  <c:v>10.89395563410895</c:v>
                </c:pt>
                <c:pt idx="14">
                  <c:v>10.98313775678976</c:v>
                </c:pt>
                <c:pt idx="15">
                  <c:v>11.04648946787401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'APP-E3 1to2 CompAnal'!$B$38</c:f>
              <c:strCache>
                <c:ptCount val="1"/>
                <c:pt idx="0">
                  <c:v>Obs. (known y's)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'APP-E3 1to2 CompAnal'!$C$36:$R$36</c:f>
              <c:numCache>
                <c:formatCode>0.00</c:formatCode>
                <c:ptCount val="16"/>
                <c:pt idx="0">
                  <c:v>0.0</c:v>
                </c:pt>
                <c:pt idx="1">
                  <c:v>0.254027838182111</c:v>
                </c:pt>
                <c:pt idx="2">
                  <c:v>0.508055676364223</c:v>
                </c:pt>
                <c:pt idx="3">
                  <c:v>0.762083514546334</c:v>
                </c:pt>
                <c:pt idx="4">
                  <c:v>1.016111352728446</c:v>
                </c:pt>
                <c:pt idx="5">
                  <c:v>1.270139190910557</c:v>
                </c:pt>
                <c:pt idx="6">
                  <c:v>1.524167029092668</c:v>
                </c:pt>
                <c:pt idx="7">
                  <c:v>1.77819486727478</c:v>
                </c:pt>
                <c:pt idx="8">
                  <c:v>2.032222705456891</c:v>
                </c:pt>
                <c:pt idx="9">
                  <c:v>2.286250543639002</c:v>
                </c:pt>
                <c:pt idx="10">
                  <c:v>2.540278381821114</c:v>
                </c:pt>
                <c:pt idx="11">
                  <c:v>3.048334058185336</c:v>
                </c:pt>
                <c:pt idx="12">
                  <c:v>3.556389734549559</c:v>
                </c:pt>
                <c:pt idx="13">
                  <c:v>4.064445410913782</c:v>
                </c:pt>
                <c:pt idx="14">
                  <c:v>4.572501087278005</c:v>
                </c:pt>
                <c:pt idx="15">
                  <c:v>5.080556763642226</c:v>
                </c:pt>
              </c:numCache>
            </c:numRef>
          </c:xVal>
          <c:yVal>
            <c:numRef>
              <c:f>'APP-E3 1to2 CompAnal'!$C$38:$R$38</c:f>
              <c:numCache>
                <c:formatCode>0.00000</c:formatCode>
                <c:ptCount val="16"/>
                <c:pt idx="0">
                  <c:v>8.01705</c:v>
                </c:pt>
                <c:pt idx="1">
                  <c:v>8.29247</c:v>
                </c:pt>
                <c:pt idx="2">
                  <c:v>8.561170000000001</c:v>
                </c:pt>
                <c:pt idx="3">
                  <c:v>8.82254</c:v>
                </c:pt>
                <c:pt idx="4">
                  <c:v>9.083920000000001</c:v>
                </c:pt>
                <c:pt idx="5">
                  <c:v>9.33918</c:v>
                </c:pt>
                <c:pt idx="6">
                  <c:v>9.57246</c:v>
                </c:pt>
                <c:pt idx="7">
                  <c:v>9.78559</c:v>
                </c:pt>
                <c:pt idx="8">
                  <c:v>9.98162</c:v>
                </c:pt>
                <c:pt idx="9">
                  <c:v>10.15689</c:v>
                </c:pt>
                <c:pt idx="10">
                  <c:v>10.30284</c:v>
                </c:pt>
                <c:pt idx="11">
                  <c:v>10.55811</c:v>
                </c:pt>
                <c:pt idx="12">
                  <c:v>10.74864</c:v>
                </c:pt>
                <c:pt idx="13">
                  <c:v>10.88849</c:v>
                </c:pt>
                <c:pt idx="14">
                  <c:v>10.99169</c:v>
                </c:pt>
                <c:pt idx="15">
                  <c:v>11.0723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164792"/>
        <c:axId val="2135167336"/>
      </c:scatterChart>
      <c:valAx>
        <c:axId val="2135164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[G]</a:t>
                </a:r>
                <a:r>
                  <a:rPr lang="en-US" altLang="ja-JP" sz="1200" b="0" i="0" u="none" strike="noStrike" baseline="-25000">
                    <a:effectLst/>
                  </a:rPr>
                  <a:t>0</a:t>
                </a:r>
                <a:r>
                  <a:rPr lang="en-US" altLang="ja-JP" sz="1200" b="0" i="0" u="none" strike="noStrike" baseline="0"/>
                  <a:t> </a:t>
                </a:r>
                <a:r>
                  <a:rPr lang="en-US" altLang="ja-JP"/>
                  <a:t>/[H]</a:t>
                </a:r>
                <a:r>
                  <a:rPr lang="en-US" altLang="ja-JP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0.868870300136688"/>
              <c:y val="0.89252247504495"/>
            </c:manualLayout>
          </c:layout>
          <c:overlay val="0"/>
          <c:spPr>
            <a:solidFill>
              <a:schemeClr val="bg1"/>
            </a:solidFill>
            <a:ln w="3175">
              <a:solidFill>
                <a:srgbClr val="CCFFCC"/>
              </a:solidFill>
              <a:prstDash val="solid"/>
            </a:ln>
          </c:spPr>
        </c:title>
        <c:numFmt formatCode="0.0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2135167336"/>
        <c:crosses val="autoZero"/>
        <c:crossBetween val="midCat"/>
      </c:valAx>
      <c:valAx>
        <c:axId val="2135167336"/>
        <c:scaling>
          <c:orientation val="minMax"/>
          <c:min val="7.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Dd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h</a:t>
                </a:r>
              </a:p>
            </c:rich>
          </c:tx>
          <c:layout>
            <c:manualLayout>
              <c:xMode val="edge"/>
              <c:yMode val="edge"/>
              <c:x val="0.0324324740581021"/>
              <c:y val="0.4325581251162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2135164792"/>
        <c:crossesAt val="-0.07"/>
        <c:crossBetween val="midCat"/>
        <c:minorUnit val="0.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0045434418497"/>
          <c:y val="0.606298282596565"/>
          <c:w val="0.339853493252219"/>
          <c:h val="0.1929130758261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>
      <c:oddHeader>&amp;A</c:oddHeader>
      <c:oddFooter>- &amp;P -</c:oddFooter>
    </c:headerFooter>
    <c:pageMargins b="0.75" l="0.7" r="0.7" t="0.75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157789099892"/>
          <c:y val="0.0464286523937158"/>
          <c:w val="0.767974628171478"/>
          <c:h val="0.8357157430868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'APP-E4 1to1&amp;2to1MixCompAnal'!$S$35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'APP-E4 1to1&amp;2to1MixCompAnal'!$D$34:$O$34</c:f>
              <c:numCache>
                <c:formatCode>0.00</c:formatCode>
                <c:ptCount val="12"/>
                <c:pt idx="0" formatCode="General">
                  <c:v>0.0147124450739048</c:v>
                </c:pt>
                <c:pt idx="1">
                  <c:v>0.147124450739048</c:v>
                </c:pt>
                <c:pt idx="2">
                  <c:v>0.294248901478095</c:v>
                </c:pt>
                <c:pt idx="3">
                  <c:v>0.441373352217143</c:v>
                </c:pt>
                <c:pt idx="4">
                  <c:v>0.588497802956191</c:v>
                </c:pt>
                <c:pt idx="5">
                  <c:v>0.735622253695239</c:v>
                </c:pt>
                <c:pt idx="6">
                  <c:v>0.882746704434286</c:v>
                </c:pt>
                <c:pt idx="7">
                  <c:v>1.176995605912382</c:v>
                </c:pt>
                <c:pt idx="8">
                  <c:v>1.471244507390477</c:v>
                </c:pt>
                <c:pt idx="9">
                  <c:v>1.91261785960762</c:v>
                </c:pt>
                <c:pt idx="10">
                  <c:v>2.353991211824763</c:v>
                </c:pt>
                <c:pt idx="11">
                  <c:v>2.942489014780954</c:v>
                </c:pt>
              </c:numCache>
            </c:numRef>
          </c:xVal>
          <c:yVal>
            <c:numRef>
              <c:f>'APP-E4 1to1&amp;2to1MixCompAnal'!$D$35:$O$35</c:f>
              <c:numCache>
                <c:formatCode>0.0000</c:formatCode>
                <c:ptCount val="12"/>
                <c:pt idx="0" formatCode="General">
                  <c:v>-0.192554701464509</c:v>
                </c:pt>
                <c:pt idx="1">
                  <c:v>-0.277624066563227</c:v>
                </c:pt>
                <c:pt idx="2">
                  <c:v>-0.33723040191621</c:v>
                </c:pt>
                <c:pt idx="3">
                  <c:v>-0.351728334129188</c:v>
                </c:pt>
                <c:pt idx="4">
                  <c:v>-0.340420331384182</c:v>
                </c:pt>
                <c:pt idx="5">
                  <c:v>-0.319503563712151</c:v>
                </c:pt>
                <c:pt idx="6">
                  <c:v>-0.296619674138624</c:v>
                </c:pt>
                <c:pt idx="7">
                  <c:v>-0.254762668261947</c:v>
                </c:pt>
                <c:pt idx="8">
                  <c:v>-0.221054187205525</c:v>
                </c:pt>
                <c:pt idx="9">
                  <c:v>-0.183234072108801</c:v>
                </c:pt>
                <c:pt idx="10">
                  <c:v>-0.155972377662231</c:v>
                </c:pt>
                <c:pt idx="11">
                  <c:v>-0.129903868372685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'APP-E4 1to1&amp;2to1MixCompAnal'!$S$36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'APP-E4 1to1&amp;2to1MixCompAnal'!$D$34:$O$34</c:f>
              <c:numCache>
                <c:formatCode>0.00</c:formatCode>
                <c:ptCount val="12"/>
                <c:pt idx="0" formatCode="General">
                  <c:v>0.0147124450739048</c:v>
                </c:pt>
                <c:pt idx="1">
                  <c:v>0.147124450739048</c:v>
                </c:pt>
                <c:pt idx="2">
                  <c:v>0.294248901478095</c:v>
                </c:pt>
                <c:pt idx="3">
                  <c:v>0.441373352217143</c:v>
                </c:pt>
                <c:pt idx="4">
                  <c:v>0.588497802956191</c:v>
                </c:pt>
                <c:pt idx="5">
                  <c:v>0.735622253695239</c:v>
                </c:pt>
                <c:pt idx="6">
                  <c:v>0.882746704434286</c:v>
                </c:pt>
                <c:pt idx="7">
                  <c:v>1.176995605912382</c:v>
                </c:pt>
                <c:pt idx="8">
                  <c:v>1.471244507390477</c:v>
                </c:pt>
                <c:pt idx="9">
                  <c:v>1.91261785960762</c:v>
                </c:pt>
                <c:pt idx="10">
                  <c:v>2.353991211824763</c:v>
                </c:pt>
                <c:pt idx="11">
                  <c:v>2.942489014780954</c:v>
                </c:pt>
              </c:numCache>
            </c:numRef>
          </c:xVal>
          <c:yVal>
            <c:numRef>
              <c:f>'APP-E4 1to1&amp;2to1MixCompAnal'!$D$36:$O$36</c:f>
              <c:numCache>
                <c:formatCode>0.0000</c:formatCode>
                <c:ptCount val="12"/>
                <c:pt idx="0" formatCode="General">
                  <c:v>-0.191038016130054</c:v>
                </c:pt>
                <c:pt idx="1">
                  <c:v>-0.282438016130054</c:v>
                </c:pt>
                <c:pt idx="2">
                  <c:v>-0.331238016130054</c:v>
                </c:pt>
                <c:pt idx="3">
                  <c:v>-0.351038016130054</c:v>
                </c:pt>
                <c:pt idx="4">
                  <c:v>-0.345638016130053</c:v>
                </c:pt>
                <c:pt idx="5">
                  <c:v>-0.321238016130053</c:v>
                </c:pt>
                <c:pt idx="6">
                  <c:v>-0.295938016130053</c:v>
                </c:pt>
                <c:pt idx="7">
                  <c:v>-0.251638016130054</c:v>
                </c:pt>
                <c:pt idx="8">
                  <c:v>-0.219138016130054</c:v>
                </c:pt>
                <c:pt idx="9">
                  <c:v>-0.183038016130054</c:v>
                </c:pt>
                <c:pt idx="10">
                  <c:v>-0.157638016130053</c:v>
                </c:pt>
                <c:pt idx="11">
                  <c:v>-0.130538016130053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365048"/>
        <c:axId val="2135318120"/>
      </c:scatterChart>
      <c:valAx>
        <c:axId val="2135365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200" b="0" i="0" u="none" strike="noStrike" baseline="0">
                    <a:latin typeface="ＭＳ Ｐゴシック"/>
                    <a:ea typeface="ＭＳ Ｐゴシック"/>
                    <a:cs typeface="ＭＳ Ｐゴシック"/>
                  </a:rPr>
                  <a:t>[G]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0/[H]0</a:t>
                </a:r>
              </a:p>
            </c:rich>
          </c:tx>
          <c:layout>
            <c:manualLayout>
              <c:xMode val="edge"/>
              <c:yMode val="edge"/>
              <c:x val="0.827129365062054"/>
              <c:y val="0.892858916828945"/>
            </c:manualLayout>
          </c:layout>
          <c:overlay val="0"/>
          <c:spPr>
            <a:solidFill>
              <a:schemeClr val="bg1"/>
            </a:solidFill>
            <a:ln w="12700">
              <a:solidFill>
                <a:srgbClr val="FFFFFF"/>
              </a:solidFill>
              <a:prstDash val="solid"/>
            </a:ln>
          </c:spPr>
        </c:title>
        <c:numFmt formatCode="0.0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2135318120"/>
        <c:crosses val="autoZero"/>
        <c:crossBetween val="midCat"/>
      </c:valAx>
      <c:valAx>
        <c:axId val="2135318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200" b="0" i="0" u="none" strike="noStrike" baseline="0">
                    <a:latin typeface="ＭＳ Ｐゴシック"/>
                    <a:ea typeface="ＭＳ Ｐゴシック"/>
                    <a:cs typeface="ＭＳ Ｐゴシック"/>
                  </a:rPr>
                  <a:t>Dd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h</a:t>
                </a:r>
              </a:p>
            </c:rich>
          </c:tx>
          <c:layout>
            <c:manualLayout>
              <c:xMode val="edge"/>
              <c:yMode val="edge"/>
              <c:x val="0.0129031343381246"/>
              <c:y val="0.39170547229983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2135365048"/>
        <c:crossesAt val="-0.07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6667175605819"/>
          <c:y val="0.507143623176135"/>
          <c:w val="0.23856239230484"/>
          <c:h val="0.1178573646036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>
      <c:oddHeader>&amp;A</c:oddHeader>
      <c:oddFooter>- &amp;P -</c:oddFooter>
    </c:headerFooter>
    <c:pageMargins b="0.75" l="0.7" r="0.7" t="0.75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9</xdr:row>
      <xdr:rowOff>101600</xdr:rowOff>
    </xdr:from>
    <xdr:to>
      <xdr:col>4</xdr:col>
      <xdr:colOff>12700</xdr:colOff>
      <xdr:row>12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3276600" y="2222500"/>
          <a:ext cx="1270000" cy="74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12700</xdr:colOff>
      <xdr:row>8</xdr:row>
      <xdr:rowOff>203200</xdr:rowOff>
    </xdr:from>
    <xdr:to>
      <xdr:col>6</xdr:col>
      <xdr:colOff>0</xdr:colOff>
      <xdr:row>8</xdr:row>
      <xdr:rowOff>203200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422900" y="2082800"/>
          <a:ext cx="965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12700</xdr:colOff>
      <xdr:row>5</xdr:row>
      <xdr:rowOff>101600</xdr:rowOff>
    </xdr:from>
    <xdr:to>
      <xdr:col>4</xdr:col>
      <xdr:colOff>0</xdr:colOff>
      <xdr:row>6</xdr:row>
      <xdr:rowOff>127000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3276600" y="1270000"/>
          <a:ext cx="12573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7</xdr:col>
      <xdr:colOff>38100</xdr:colOff>
      <xdr:row>9</xdr:row>
      <xdr:rowOff>38100</xdr:rowOff>
    </xdr:from>
    <xdr:to>
      <xdr:col>7</xdr:col>
      <xdr:colOff>990600</xdr:colOff>
      <xdr:row>10</xdr:row>
      <xdr:rowOff>190500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302500" y="2159000"/>
          <a:ext cx="9525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0</xdr:colOff>
      <xdr:row>5</xdr:row>
      <xdr:rowOff>88900</xdr:rowOff>
    </xdr:from>
    <xdr:to>
      <xdr:col>7</xdr:col>
      <xdr:colOff>0</xdr:colOff>
      <xdr:row>5</xdr:row>
      <xdr:rowOff>88900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388100" y="1257300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863600</xdr:colOff>
      <xdr:row>9</xdr:row>
      <xdr:rowOff>165100</xdr:rowOff>
    </xdr:from>
    <xdr:to>
      <xdr:col>5</xdr:col>
      <xdr:colOff>939800</xdr:colOff>
      <xdr:row>11</xdr:row>
      <xdr:rowOff>203200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5397500" y="2286000"/>
          <a:ext cx="9525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 editAs="oneCell">
    <xdr:from>
      <xdr:col>7</xdr:col>
      <xdr:colOff>368300</xdr:colOff>
      <xdr:row>30</xdr:row>
      <xdr:rowOff>114300</xdr:rowOff>
    </xdr:from>
    <xdr:to>
      <xdr:col>10</xdr:col>
      <xdr:colOff>1168400</xdr:colOff>
      <xdr:row>42</xdr:row>
      <xdr:rowOff>139700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0.07231</cdr:x>
      <cdr:y>0.83642</cdr:y>
    </cdr:from>
    <cdr:to>
      <cdr:x>0.96795</cdr:x>
      <cdr:y>0.98102</cdr:y>
    </cdr:to>
    <cdr:sp macro="" textlink="">
      <cdr:nvSpPr>
        <cdr:cNvPr id="49153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89" y="2358212"/>
          <a:ext cx="3776358" cy="407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1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Figure 4.</a:t>
          </a:r>
          <a:r>
            <a:rPr lang="en-US" altLang="ja-JP" sz="1000" b="0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 Modified Job's Plot for complexation of host and guest by UV-visible spectroscopy    </a:t>
          </a:r>
          <a:r>
            <a:rPr lang="en-US" altLang="ja-JP" sz="800" b="0" i="0" strike="noStrike">
              <a:solidFill>
                <a:srgbClr val="000000"/>
              </a:solidFill>
              <a:latin typeface="Osaka"/>
              <a:ea typeface="Osaka"/>
              <a:cs typeface="Osaka"/>
            </a:rPr>
            <a:t>●</a:t>
          </a:r>
          <a:r>
            <a:rPr lang="en-US" altLang="ja-JP" sz="1000" b="0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 : observed;   ------- : calculated</a:t>
          </a:r>
        </a:p>
      </cdr:txBody>
    </cdr:sp>
  </cdr:relSizeAnchor>
  <cdr:relSizeAnchor xmlns:cdr="http://schemas.openxmlformats.org/drawingml/2006/chartDrawing">
    <cdr:from>
      <cdr:x>0.72153</cdr:x>
      <cdr:y>0.95127</cdr:y>
    </cdr:from>
    <cdr:to>
      <cdr:x>0.98672</cdr:x>
      <cdr:y>0.96136</cdr:y>
    </cdr:to>
    <cdr:sp macro="" textlink="">
      <cdr:nvSpPr>
        <cdr:cNvPr id="49154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9580" y="2105457"/>
          <a:ext cx="1032815" cy="2208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[H]</a:t>
          </a:r>
          <a:r>
            <a:rPr lang="ja-JP" altLang="en-US" sz="1000" b="0" i="0" strike="noStrike" baseline="-2500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０</a:t>
          </a:r>
          <a:r>
            <a:rPr lang="ja-JP" altLang="en-US" sz="1000" b="0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 </a:t>
          </a:r>
          <a:r>
            <a:rPr lang="en-US" altLang="ja-JP" sz="1000" b="0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/( [H]</a:t>
          </a:r>
          <a:r>
            <a:rPr lang="ja-JP" altLang="en-US" sz="1000" b="0" i="0" strike="noStrike" baseline="-2500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０</a:t>
          </a:r>
          <a:r>
            <a:rPr lang="en-US" altLang="ja-JP" sz="1000" b="0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+[G]</a:t>
          </a:r>
          <a:r>
            <a:rPr lang="ja-JP" altLang="en-US" sz="1000" b="0" i="0" strike="noStrike" baseline="-2500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０</a:t>
          </a:r>
          <a:r>
            <a:rPr lang="en-US" altLang="ja-JP" sz="1000" b="0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)</a:t>
          </a:r>
        </a:p>
      </cdr:txBody>
    </cdr:sp>
  </cdr:relSizeAnchor>
  <cdr:relSizeAnchor xmlns:cdr="http://schemas.openxmlformats.org/drawingml/2006/chartDrawing">
    <cdr:from>
      <cdr:x>0.01401</cdr:x>
      <cdr:y>0.25587</cdr:y>
    </cdr:from>
    <cdr:to>
      <cdr:x>0.0162</cdr:x>
      <cdr:y>0.85567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641" y="711225"/>
          <a:ext cx="152248" cy="8153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altLang="ja-JP" sz="1025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A</a:t>
          </a:r>
          <a:r>
            <a:rPr lang="en-US" altLang="ja-JP" sz="525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obs</a:t>
          </a:r>
          <a:r>
            <a:rPr lang="en-US" altLang="ja-JP" sz="1025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–A</a:t>
          </a:r>
          <a:r>
            <a:rPr lang="en-US" altLang="ja-JP" sz="525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h</a:t>
          </a:r>
          <a:r>
            <a:rPr lang="en-US" altLang="ja-JP" sz="1025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–A</a:t>
          </a:r>
          <a:r>
            <a:rPr lang="en-US" altLang="ja-JP" sz="525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52</xdr:row>
      <xdr:rowOff>241300</xdr:rowOff>
    </xdr:from>
    <xdr:to>
      <xdr:col>5</xdr:col>
      <xdr:colOff>812800</xdr:colOff>
      <xdr:row>67</xdr:row>
      <xdr:rowOff>203200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0.13918</cdr:x>
      <cdr:y>0.8893</cdr:y>
    </cdr:from>
    <cdr:to>
      <cdr:x>0.83807</cdr:x>
      <cdr:y>0.97989</cdr:y>
    </cdr:to>
    <cdr:sp macro="" textlink="">
      <cdr:nvSpPr>
        <cdr:cNvPr id="2764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543" y="3162351"/>
          <a:ext cx="3301834" cy="322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1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Figure</a:t>
          </a:r>
          <a:r>
            <a:rPr lang="en-US" altLang="ja-JP" sz="1000" b="0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  Graphical expression to appreciate the determined </a:t>
          </a:r>
          <a:r>
            <a:rPr lang="en-US" altLang="ja-JP" sz="1000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K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Times"/>
              <a:ea typeface="Times"/>
              <a:cs typeface="Times"/>
            </a:rPr>
            <a:t> according to  Rose-Drago method</a:t>
          </a:r>
        </a:p>
      </cdr:txBody>
    </cdr:sp>
  </cdr:relSizeAnchor>
  <cdr:relSizeAnchor xmlns:cdr="http://schemas.openxmlformats.org/drawingml/2006/chartDrawing">
    <cdr:from>
      <cdr:x>0.89139</cdr:x>
      <cdr:y>0.44292</cdr:y>
    </cdr:from>
    <cdr:to>
      <cdr:x>0.99023</cdr:x>
      <cdr:y>0.53957</cdr:y>
    </cdr:to>
    <cdr:sp macro="" textlink="">
      <cdr:nvSpPr>
        <cdr:cNvPr id="27650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0597" y="1631188"/>
          <a:ext cx="931494" cy="2711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1" strike="noStrike">
              <a:solidFill>
                <a:srgbClr val="000000"/>
              </a:solidFill>
              <a:latin typeface="Symbol"/>
              <a:ea typeface="Symbol"/>
              <a:cs typeface="Symbol"/>
            </a:rPr>
            <a:t>e</a:t>
          </a:r>
          <a:r>
            <a:rPr lang="en-US" altLang="ja-JP" sz="900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c</a:t>
          </a:r>
          <a:r>
            <a:rPr lang="en-US" altLang="ja-JP" sz="1200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-</a:t>
          </a:r>
          <a:r>
            <a:rPr lang="en-US" altLang="ja-JP" sz="1200" b="0" i="1" strike="noStrike">
              <a:solidFill>
                <a:srgbClr val="000000"/>
              </a:solidFill>
              <a:latin typeface="Symbol"/>
              <a:ea typeface="Symbol"/>
              <a:cs typeface="Symbol"/>
            </a:rPr>
            <a:t>e</a:t>
          </a:r>
          <a:r>
            <a:rPr lang="en-US" altLang="ja-JP" sz="900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h-</a:t>
          </a:r>
          <a:r>
            <a:rPr lang="en-US" altLang="ja-JP" sz="1200" b="0" i="1" strike="noStrike">
              <a:solidFill>
                <a:srgbClr val="000000"/>
              </a:solidFill>
              <a:latin typeface="Symbol"/>
              <a:ea typeface="Symbol"/>
              <a:cs typeface="Symbol"/>
            </a:rPr>
            <a:t>e</a:t>
          </a:r>
          <a:r>
            <a:rPr lang="en-US" altLang="ja-JP" sz="900" b="0" i="1" strike="noStrike">
              <a:solidFill>
                <a:srgbClr val="000000"/>
              </a:solidFill>
              <a:latin typeface="Times"/>
              <a:ea typeface="Times"/>
              <a:cs typeface="Times"/>
            </a:rPr>
            <a:t>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203200</xdr:colOff>
      <xdr:row>0</xdr:row>
      <xdr:rowOff>0</xdr:rowOff>
    </xdr:from>
    <xdr:to>
      <xdr:col>17</xdr:col>
      <xdr:colOff>596900</xdr:colOff>
      <xdr:row>14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88900</xdr:colOff>
      <xdr:row>0</xdr:row>
      <xdr:rowOff>63500</xdr:rowOff>
    </xdr:from>
    <xdr:to>
      <xdr:col>16</xdr:col>
      <xdr:colOff>647700</xdr:colOff>
      <xdr:row>14</xdr:row>
      <xdr:rowOff>203200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GHD8.5-2/KGHD755-1/KG62PB%20&#23398;&#20250;&#30330;&#34920;/00-&#26149;&#24180;&#20250;/&#22478;/B135%7bpBrOH%7dTPTZ/K&#31639;&#20986;&#35336;&#31639;&#34920;/K&#31639;&#20986;&#35336;&#31639;&#34920;/B135%7bpBrOH%7dTPTZ(20)Ha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seK/Documents/Microsoft%20&#12518;&#12540;&#12470;&#12540;%20&#12487;&#12540;&#12479;/&#20445;&#23384;&#28168;&#12415;&#28155;&#20184;&#12501;&#12449;&#12452;&#12523;/KGHD8.5-2KGHD755-1/KG62PB%20&#23398;&#20250;&#30330;&#34920;/00-&#26149;&#24180;&#20250;/&#22478;/B135%7bpBrOH%7dTPTZ/K&#31639;&#20986;&#35336;&#31639;&#34920;/K&#31639;&#20986;&#35336;&#31639;&#34920;/B135%7bpBrOH%7dTPTZ(20)Ha%20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℃"/>
    </sheetNames>
    <sheetDataSet>
      <sheetData sheetId="0">
        <row r="47">
          <cell r="A47" t="str">
            <v>(δy/δa)0i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℃"/>
    </sheetNames>
    <sheetDataSet>
      <sheetData sheetId="0">
        <row r="47">
          <cell r="A47" t="str">
            <v>(δy/δa)0i</v>
          </cell>
        </row>
      </sheetData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dl.handle.net/11094/39419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6"/>
  <sheetViews>
    <sheetView tabSelected="1" zoomScale="75" zoomScaleNormal="75" zoomScalePageLayoutView="75" workbookViewId="0">
      <selection activeCell="N5" sqref="N5"/>
    </sheetView>
  </sheetViews>
  <sheetFormatPr baseColWidth="12" defaultColWidth="14.1640625" defaultRowHeight="18" x14ac:dyDescent="0"/>
  <cols>
    <col min="1" max="1" width="6.6640625" style="2" customWidth="1"/>
    <col min="2" max="2" width="18.6640625" style="2" bestFit="1" customWidth="1"/>
    <col min="3" max="3" width="17.5" style="2" bestFit="1" customWidth="1"/>
    <col min="4" max="4" width="16.6640625" style="2" bestFit="1" customWidth="1"/>
    <col min="5" max="5" width="11.5" style="2" bestFit="1" customWidth="1"/>
    <col min="6" max="6" width="12.83203125" style="2" bestFit="1" customWidth="1"/>
    <col min="7" max="7" width="11.5" style="2" bestFit="1" customWidth="1"/>
    <col min="8" max="8" width="13.5" style="2" bestFit="1" customWidth="1"/>
    <col min="9" max="9" width="16" style="2" customWidth="1"/>
    <col min="10" max="10" width="15.1640625" style="2" bestFit="1" customWidth="1"/>
    <col min="11" max="11" width="17.83203125" style="2" bestFit="1" customWidth="1"/>
    <col min="12" max="12" width="12" style="2" bestFit="1" customWidth="1"/>
    <col min="13" max="13" width="12" style="2" customWidth="1"/>
    <col min="14" max="14" width="27.33203125" style="623" customWidth="1"/>
    <col min="15" max="16384" width="14.1640625" style="2"/>
  </cols>
  <sheetData>
    <row r="1" spans="1:16">
      <c r="A1" s="1" t="s">
        <v>352</v>
      </c>
      <c r="N1" s="628" t="s">
        <v>339</v>
      </c>
      <c r="O1" s="632"/>
      <c r="P1" s="633"/>
    </row>
    <row r="2" spans="1:16">
      <c r="N2" s="629" t="s">
        <v>340</v>
      </c>
      <c r="O2" s="634"/>
      <c r="P2" s="635"/>
    </row>
    <row r="3" spans="1:16" ht="19" thickBot="1">
      <c r="A3" s="3" t="s">
        <v>0</v>
      </c>
      <c r="N3" s="630" t="s">
        <v>338</v>
      </c>
      <c r="O3" s="636"/>
      <c r="P3" s="637"/>
    </row>
    <row r="4" spans="1:16" ht="19" thickBot="1">
      <c r="B4" s="4" t="s">
        <v>1</v>
      </c>
      <c r="C4" s="5" t="s">
        <v>2</v>
      </c>
      <c r="N4" s="630" t="s">
        <v>359</v>
      </c>
      <c r="O4" s="636"/>
      <c r="P4" s="637"/>
    </row>
    <row r="5" spans="1:16">
      <c r="B5" s="6" t="s">
        <v>3</v>
      </c>
      <c r="C5" s="7">
        <v>7.85</v>
      </c>
      <c r="E5" s="8" t="s">
        <v>4</v>
      </c>
      <c r="F5" s="9"/>
      <c r="H5" s="10"/>
      <c r="I5" s="11" t="s">
        <v>5</v>
      </c>
      <c r="J5" s="12">
        <v>576</v>
      </c>
      <c r="N5" s="642" t="s">
        <v>356</v>
      </c>
      <c r="O5" s="638"/>
      <c r="P5" s="639"/>
    </row>
    <row r="6" spans="1:16" ht="19" thickBot="1">
      <c r="B6" s="6" t="s">
        <v>6</v>
      </c>
      <c r="C6" s="13">
        <v>710.74</v>
      </c>
      <c r="E6" s="14">
        <f>C5/C6/C7</f>
        <v>4.4179306075358077E-4</v>
      </c>
      <c r="F6" s="15" t="s">
        <v>7</v>
      </c>
      <c r="H6" s="16"/>
      <c r="I6" s="17" t="str">
        <f>"Absorbance at "&amp;J5&amp;"nm is "</f>
        <v xml:space="preserve">Absorbance at 576nm is </v>
      </c>
      <c r="J6" s="18">
        <v>5.0806201986661789E-2</v>
      </c>
      <c r="N6" s="631" t="s">
        <v>342</v>
      </c>
      <c r="O6" s="640"/>
      <c r="P6" s="641"/>
    </row>
    <row r="7" spans="1:16" ht="19" thickBot="1">
      <c r="B7" s="19" t="s">
        <v>8</v>
      </c>
      <c r="C7" s="20">
        <v>25</v>
      </c>
    </row>
    <row r="8" spans="1:16" ht="18" customHeight="1">
      <c r="B8" s="21"/>
      <c r="C8" s="22"/>
      <c r="E8" s="23"/>
      <c r="F8" s="24"/>
      <c r="H8" s="25"/>
      <c r="I8" s="25"/>
      <c r="J8" s="26"/>
      <c r="N8" s="646" t="s">
        <v>337</v>
      </c>
      <c r="O8" s="646"/>
      <c r="P8" s="646"/>
    </row>
    <row r="9" spans="1:16" ht="19" thickBot="1">
      <c r="A9" s="3" t="s">
        <v>9</v>
      </c>
      <c r="C9" s="27"/>
      <c r="E9" s="28" t="s">
        <v>10</v>
      </c>
      <c r="G9" s="28" t="s">
        <v>11</v>
      </c>
      <c r="N9" s="646"/>
      <c r="O9" s="646"/>
      <c r="P9" s="646"/>
    </row>
    <row r="10" spans="1:16">
      <c r="B10" s="4" t="s">
        <v>12</v>
      </c>
      <c r="C10" s="5" t="s">
        <v>13</v>
      </c>
      <c r="E10" s="29">
        <v>0.98</v>
      </c>
      <c r="G10" s="30">
        <v>25</v>
      </c>
      <c r="N10" s="646"/>
      <c r="O10" s="646"/>
      <c r="P10" s="646"/>
    </row>
    <row r="11" spans="1:16">
      <c r="B11" s="6" t="s">
        <v>3</v>
      </c>
      <c r="C11" s="7">
        <v>6.88</v>
      </c>
      <c r="N11" s="646"/>
      <c r="O11" s="646"/>
      <c r="P11" s="646"/>
    </row>
    <row r="12" spans="1:16" ht="19" thickBot="1">
      <c r="B12" s="31" t="s">
        <v>14</v>
      </c>
      <c r="C12" s="32">
        <v>1</v>
      </c>
      <c r="F12" s="27"/>
      <c r="H12" s="10"/>
      <c r="I12" s="17" t="str">
        <f>"Absorbance at "&amp;J5&amp;"nm is "</f>
        <v xml:space="preserve">Absorbance at 576nm is </v>
      </c>
      <c r="J12" s="18">
        <v>2.9000000000000001E-2</v>
      </c>
      <c r="N12" s="646"/>
      <c r="O12" s="646"/>
      <c r="P12" s="646"/>
    </row>
    <row r="13" spans="1:16">
      <c r="B13" s="6" t="s">
        <v>15</v>
      </c>
      <c r="C13" s="13">
        <v>61.08</v>
      </c>
      <c r="E13" s="33" t="s">
        <v>16</v>
      </c>
      <c r="F13" s="34"/>
      <c r="H13" s="23"/>
      <c r="I13" s="24"/>
      <c r="N13" s="646"/>
      <c r="O13" s="646"/>
      <c r="P13" s="646"/>
    </row>
    <row r="14" spans="1:16" ht="19" thickBot="1">
      <c r="B14" s="19" t="s">
        <v>17</v>
      </c>
      <c r="C14" s="20">
        <v>10</v>
      </c>
      <c r="E14" s="35">
        <f>C11*C12/C13/C14*E10/G10</f>
        <v>4.4154551407989519E-4</v>
      </c>
      <c r="F14" s="36" t="s">
        <v>18</v>
      </c>
      <c r="H14" s="23"/>
      <c r="I14" s="24"/>
      <c r="N14" s="646"/>
      <c r="O14" s="646"/>
      <c r="P14" s="646"/>
    </row>
    <row r="15" spans="1:16">
      <c r="B15" s="37"/>
      <c r="C15" s="27"/>
      <c r="H15" s="23"/>
      <c r="I15" s="24"/>
      <c r="N15" s="646"/>
      <c r="O15" s="646"/>
      <c r="P15" s="646"/>
    </row>
    <row r="16" spans="1:16">
      <c r="B16" s="37"/>
      <c r="C16" s="27"/>
      <c r="N16" s="646"/>
      <c r="O16" s="646"/>
      <c r="P16" s="646"/>
    </row>
    <row r="17" spans="1:18">
      <c r="A17" s="3" t="s">
        <v>19</v>
      </c>
      <c r="N17" s="646"/>
      <c r="O17" s="646"/>
      <c r="P17" s="646"/>
    </row>
    <row r="18" spans="1:18" ht="20" thickBot="1">
      <c r="A18" s="3"/>
      <c r="B18" s="3"/>
      <c r="F18" s="38" t="s">
        <v>20</v>
      </c>
      <c r="H18" s="38" t="s">
        <v>21</v>
      </c>
      <c r="I18" s="39" t="s">
        <v>22</v>
      </c>
      <c r="J18" s="38" t="s">
        <v>23</v>
      </c>
      <c r="L18" s="28" t="s">
        <v>24</v>
      </c>
      <c r="M18" s="624"/>
      <c r="N18" s="626"/>
      <c r="O18" s="626"/>
      <c r="P18" s="626"/>
    </row>
    <row r="19" spans="1:18" ht="19" customHeight="1" thickBot="1">
      <c r="A19" s="40"/>
      <c r="B19" s="41" t="s">
        <v>25</v>
      </c>
      <c r="C19" s="42"/>
      <c r="F19" s="43">
        <f>J6/E6</f>
        <v>115</v>
      </c>
      <c r="H19" s="44">
        <f>J12/E14</f>
        <v>65.678393450403419</v>
      </c>
      <c r="I19" s="45">
        <v>266</v>
      </c>
      <c r="J19" s="45">
        <v>38000</v>
      </c>
      <c r="L19" s="46">
        <f>AVERAGE(L21:L29)</f>
        <v>4.4166928741673804E-4</v>
      </c>
      <c r="M19" s="72"/>
      <c r="N19" s="646" t="s">
        <v>345</v>
      </c>
      <c r="O19" s="646"/>
      <c r="P19" s="646"/>
    </row>
    <row r="20" spans="1:18">
      <c r="A20" s="47" t="s">
        <v>26</v>
      </c>
      <c r="B20" s="28" t="s">
        <v>27</v>
      </c>
      <c r="C20" s="48" t="s">
        <v>28</v>
      </c>
      <c r="D20" s="49" t="s">
        <v>29</v>
      </c>
      <c r="E20" s="50" t="s">
        <v>30</v>
      </c>
      <c r="F20" s="51" t="s">
        <v>31</v>
      </c>
      <c r="G20" s="50" t="s">
        <v>32</v>
      </c>
      <c r="H20" s="51" t="s">
        <v>33</v>
      </c>
      <c r="I20" s="50" t="s">
        <v>34</v>
      </c>
      <c r="J20" s="52" t="s">
        <v>35</v>
      </c>
      <c r="K20" s="52" t="s">
        <v>36</v>
      </c>
      <c r="L20" s="53" t="s">
        <v>37</v>
      </c>
      <c r="M20" s="624"/>
      <c r="N20" s="646"/>
      <c r="O20" s="646"/>
      <c r="P20" s="646"/>
    </row>
    <row r="21" spans="1:18">
      <c r="A21" s="31">
        <v>1</v>
      </c>
      <c r="B21" s="54">
        <v>3.5</v>
      </c>
      <c r="C21" s="55">
        <v>0.5</v>
      </c>
      <c r="D21" s="56">
        <v>0.25</v>
      </c>
      <c r="E21" s="57">
        <f t="shared" ref="E21:E29" si="0">E$6*B21/4</f>
        <v>3.8656892815938318E-4</v>
      </c>
      <c r="F21" s="58">
        <f t="shared" ref="F21:F29" si="1">F$19*E21</f>
        <v>4.4455426738329064E-2</v>
      </c>
      <c r="G21" s="57">
        <f t="shared" ref="G21:G29" si="2">E$14*C21/4</f>
        <v>5.5193189259986899E-5</v>
      </c>
      <c r="H21" s="57">
        <f t="shared" ref="H21:H29" si="3">H$19*G21</f>
        <v>3.6249999999999998E-3</v>
      </c>
      <c r="I21" s="57">
        <f t="shared" ref="I21:I29" si="4">I$19*E21*G21</f>
        <v>5.675368555705677E-6</v>
      </c>
      <c r="J21" s="58">
        <f t="shared" ref="J21:J29" si="5">J$19*I21</f>
        <v>0.21566400511681572</v>
      </c>
      <c r="K21" s="59">
        <f t="shared" ref="K21:K29" si="6">J21+F21+H21</f>
        <v>0.26374443185514479</v>
      </c>
      <c r="L21" s="60">
        <f t="shared" ref="L21:L29" si="7">E21+G21</f>
        <v>4.4176211741937007E-4</v>
      </c>
      <c r="M21" s="72"/>
      <c r="N21" s="646"/>
      <c r="O21" s="646"/>
      <c r="P21" s="646"/>
    </row>
    <row r="22" spans="1:18">
      <c r="A22" s="31">
        <v>2</v>
      </c>
      <c r="B22" s="54">
        <v>3.2</v>
      </c>
      <c r="C22" s="55">
        <v>0.8</v>
      </c>
      <c r="D22" s="56">
        <v>0.35680000000000001</v>
      </c>
      <c r="E22" s="57">
        <f t="shared" si="0"/>
        <v>3.5343444860286462E-4</v>
      </c>
      <c r="F22" s="58">
        <f t="shared" si="1"/>
        <v>4.0644961589329433E-2</v>
      </c>
      <c r="G22" s="57">
        <f t="shared" si="2"/>
        <v>8.8309102815979049E-5</v>
      </c>
      <c r="H22" s="57">
        <f t="shared" si="3"/>
        <v>5.8000000000000005E-3</v>
      </c>
      <c r="I22" s="57">
        <f t="shared" si="4"/>
        <v>8.3022534300608754E-6</v>
      </c>
      <c r="J22" s="58">
        <f t="shared" si="5"/>
        <v>0.31548563034231325</v>
      </c>
      <c r="K22" s="61">
        <f t="shared" si="6"/>
        <v>0.36193059193164273</v>
      </c>
      <c r="L22" s="60">
        <f t="shared" si="7"/>
        <v>4.4174355141884367E-4</v>
      </c>
      <c r="M22" s="72"/>
      <c r="N22" s="646"/>
      <c r="O22" s="646"/>
      <c r="P22" s="646"/>
    </row>
    <row r="23" spans="1:18" ht="18" customHeight="1">
      <c r="A23" s="31">
        <v>3</v>
      </c>
      <c r="B23" s="54">
        <v>3</v>
      </c>
      <c r="C23" s="55">
        <v>1</v>
      </c>
      <c r="D23" s="56">
        <v>0.39439999999999997</v>
      </c>
      <c r="E23" s="57">
        <f t="shared" si="0"/>
        <v>3.3134479556518558E-4</v>
      </c>
      <c r="F23" s="58">
        <f t="shared" si="1"/>
        <v>3.8104651489996338E-2</v>
      </c>
      <c r="G23" s="57">
        <f t="shared" si="2"/>
        <v>1.103863785199738E-4</v>
      </c>
      <c r="H23" s="57">
        <f t="shared" si="3"/>
        <v>7.2499999999999995E-3</v>
      </c>
      <c r="I23" s="57">
        <f t="shared" si="4"/>
        <v>9.7292032383525894E-6</v>
      </c>
      <c r="J23" s="58">
        <f t="shared" si="5"/>
        <v>0.36970972305739841</v>
      </c>
      <c r="K23" s="61">
        <f t="shared" si="6"/>
        <v>0.41506437454739475</v>
      </c>
      <c r="L23" s="60">
        <f t="shared" si="7"/>
        <v>4.4173117408515938E-4</v>
      </c>
      <c r="M23" s="72"/>
      <c r="N23" s="646"/>
      <c r="O23" s="646"/>
      <c r="P23" s="646"/>
    </row>
    <row r="24" spans="1:18">
      <c r="A24" s="31">
        <v>4</v>
      </c>
      <c r="B24" s="54">
        <v>2.5</v>
      </c>
      <c r="C24" s="55">
        <v>1.5</v>
      </c>
      <c r="D24" s="56">
        <v>0.50280000000000002</v>
      </c>
      <c r="E24" s="57">
        <f t="shared" si="0"/>
        <v>2.7612066297098798E-4</v>
      </c>
      <c r="F24" s="58">
        <f t="shared" si="1"/>
        <v>3.175387624166362E-2</v>
      </c>
      <c r="G24" s="57">
        <f t="shared" si="2"/>
        <v>1.655795677799607E-4</v>
      </c>
      <c r="H24" s="57">
        <f t="shared" si="3"/>
        <v>1.0874999999999999E-2</v>
      </c>
      <c r="I24" s="57">
        <f t="shared" si="4"/>
        <v>1.2161504047940736E-5</v>
      </c>
      <c r="J24" s="58">
        <f t="shared" si="5"/>
        <v>0.46213715382174797</v>
      </c>
      <c r="K24" s="61">
        <f t="shared" si="6"/>
        <v>0.50476603006341159</v>
      </c>
      <c r="L24" s="60">
        <f t="shared" si="7"/>
        <v>4.4170023075094868E-4</v>
      </c>
      <c r="M24" s="72"/>
      <c r="N24" s="646"/>
      <c r="O24" s="646"/>
      <c r="P24" s="646"/>
    </row>
    <row r="25" spans="1:18">
      <c r="A25" s="31">
        <v>5</v>
      </c>
      <c r="B25" s="54">
        <v>2</v>
      </c>
      <c r="C25" s="55">
        <v>2</v>
      </c>
      <c r="D25" s="56">
        <v>0.52669999999999995</v>
      </c>
      <c r="E25" s="57">
        <f t="shared" si="0"/>
        <v>2.2089653037679039E-4</v>
      </c>
      <c r="F25" s="58">
        <f t="shared" si="1"/>
        <v>2.5403100993330895E-2</v>
      </c>
      <c r="G25" s="57">
        <f t="shared" si="2"/>
        <v>2.207727570399476E-4</v>
      </c>
      <c r="H25" s="57">
        <f t="shared" si="3"/>
        <v>1.4499999999999999E-2</v>
      </c>
      <c r="I25" s="57">
        <f t="shared" si="4"/>
        <v>1.2972270984470119E-5</v>
      </c>
      <c r="J25" s="58">
        <f t="shared" si="5"/>
        <v>0.49294629740986451</v>
      </c>
      <c r="K25" s="61">
        <f t="shared" si="6"/>
        <v>0.53284939840319534</v>
      </c>
      <c r="L25" s="60">
        <f t="shared" si="7"/>
        <v>4.4166928741673798E-4</v>
      </c>
      <c r="M25" s="72"/>
      <c r="N25" s="625"/>
      <c r="O25" s="625"/>
      <c r="P25" s="625"/>
    </row>
    <row r="26" spans="1:18" ht="18" customHeight="1">
      <c r="A26" s="31">
        <v>6</v>
      </c>
      <c r="B26" s="54">
        <v>1.5</v>
      </c>
      <c r="C26" s="55">
        <v>2.5</v>
      </c>
      <c r="D26" s="56">
        <v>0.50270000000000004</v>
      </c>
      <c r="E26" s="57">
        <f t="shared" si="0"/>
        <v>1.6567239778259279E-4</v>
      </c>
      <c r="F26" s="58">
        <f t="shared" si="1"/>
        <v>1.9052325744998169E-2</v>
      </c>
      <c r="G26" s="57">
        <f t="shared" si="2"/>
        <v>2.7596594629993449E-4</v>
      </c>
      <c r="H26" s="57">
        <f t="shared" si="3"/>
        <v>1.8124999999999999E-2</v>
      </c>
      <c r="I26" s="57">
        <f t="shared" si="4"/>
        <v>1.2161504047940736E-5</v>
      </c>
      <c r="J26" s="58">
        <f t="shared" si="5"/>
        <v>0.46213715382174797</v>
      </c>
      <c r="K26" s="61">
        <f t="shared" si="6"/>
        <v>0.49931447956674613</v>
      </c>
      <c r="L26" s="60">
        <f t="shared" si="7"/>
        <v>4.4163834408252728E-4</v>
      </c>
      <c r="M26" s="72"/>
      <c r="N26" s="646" t="s">
        <v>344</v>
      </c>
      <c r="O26" s="646"/>
      <c r="P26" s="646"/>
    </row>
    <row r="27" spans="1:18">
      <c r="A27" s="31">
        <v>7</v>
      </c>
      <c r="B27" s="54">
        <v>1</v>
      </c>
      <c r="C27" s="55">
        <v>3</v>
      </c>
      <c r="D27" s="56">
        <v>0.41360000000000002</v>
      </c>
      <c r="E27" s="57">
        <f t="shared" si="0"/>
        <v>1.1044826518839519E-4</v>
      </c>
      <c r="F27" s="58">
        <f t="shared" si="1"/>
        <v>1.2701550496665447E-2</v>
      </c>
      <c r="G27" s="57">
        <f t="shared" si="2"/>
        <v>3.3115913555992139E-4</v>
      </c>
      <c r="H27" s="57">
        <f t="shared" si="3"/>
        <v>2.1749999999999999E-2</v>
      </c>
      <c r="I27" s="57">
        <f t="shared" si="4"/>
        <v>9.7292032383525894E-6</v>
      </c>
      <c r="J27" s="58">
        <f t="shared" si="5"/>
        <v>0.36970972305739841</v>
      </c>
      <c r="K27" s="61">
        <f t="shared" si="6"/>
        <v>0.40416127355406384</v>
      </c>
      <c r="L27" s="60">
        <f t="shared" si="7"/>
        <v>4.4160740074831659E-4</v>
      </c>
      <c r="M27" s="72"/>
      <c r="N27" s="646"/>
      <c r="O27" s="646"/>
      <c r="P27" s="646"/>
    </row>
    <row r="28" spans="1:18">
      <c r="A28" s="31">
        <v>8</v>
      </c>
      <c r="B28" s="54">
        <v>0.8</v>
      </c>
      <c r="C28" s="55">
        <v>3.2</v>
      </c>
      <c r="D28" s="56">
        <v>0.37230000000000002</v>
      </c>
      <c r="E28" s="57">
        <f t="shared" si="0"/>
        <v>8.8358612150716154E-5</v>
      </c>
      <c r="F28" s="58">
        <f t="shared" si="1"/>
        <v>1.0161240397332358E-2</v>
      </c>
      <c r="G28" s="57">
        <f t="shared" si="2"/>
        <v>3.532364112639162E-4</v>
      </c>
      <c r="H28" s="57">
        <f t="shared" si="3"/>
        <v>2.3200000000000002E-2</v>
      </c>
      <c r="I28" s="57">
        <f t="shared" si="4"/>
        <v>8.3022534300608754E-6</v>
      </c>
      <c r="J28" s="58">
        <f t="shared" si="5"/>
        <v>0.31548563034231325</v>
      </c>
      <c r="K28" s="61">
        <f t="shared" si="6"/>
        <v>0.3488468707396456</v>
      </c>
      <c r="L28" s="60">
        <f t="shared" si="7"/>
        <v>4.4159502341463235E-4</v>
      </c>
      <c r="M28" s="72"/>
      <c r="N28" s="646"/>
      <c r="O28" s="646"/>
      <c r="P28" s="646"/>
    </row>
    <row r="29" spans="1:18" ht="19" thickBot="1">
      <c r="A29" s="31">
        <v>9</v>
      </c>
      <c r="B29" s="62">
        <v>0.5</v>
      </c>
      <c r="C29" s="63">
        <v>3.5</v>
      </c>
      <c r="D29" s="64">
        <v>0.24</v>
      </c>
      <c r="E29" s="65">
        <f t="shared" si="0"/>
        <v>5.5224132594197597E-5</v>
      </c>
      <c r="F29" s="66">
        <f t="shared" si="1"/>
        <v>6.3507752483327237E-3</v>
      </c>
      <c r="G29" s="65">
        <f t="shared" si="2"/>
        <v>3.8635232481990829E-4</v>
      </c>
      <c r="H29" s="65">
        <f t="shared" si="3"/>
        <v>2.5374999999999998E-2</v>
      </c>
      <c r="I29" s="65">
        <f t="shared" si="4"/>
        <v>5.675368555705677E-6</v>
      </c>
      <c r="J29" s="66">
        <f t="shared" si="5"/>
        <v>0.21566400511681572</v>
      </c>
      <c r="K29" s="67">
        <f t="shared" si="6"/>
        <v>0.24738978036514844</v>
      </c>
      <c r="L29" s="46">
        <f t="shared" si="7"/>
        <v>4.4157645741410589E-4</v>
      </c>
      <c r="M29" s="72"/>
      <c r="N29" s="625"/>
      <c r="O29" s="625"/>
      <c r="P29" s="625"/>
    </row>
    <row r="30" spans="1:18">
      <c r="A30" s="25"/>
      <c r="B30" s="68"/>
      <c r="C30" s="68"/>
      <c r="D30" s="69"/>
      <c r="E30" s="70"/>
      <c r="F30" s="71"/>
      <c r="G30" s="70"/>
      <c r="H30" s="70"/>
      <c r="I30" s="70"/>
      <c r="J30" s="71"/>
      <c r="K30" s="71"/>
      <c r="L30" s="72"/>
      <c r="M30" s="72"/>
      <c r="N30" s="625"/>
      <c r="O30" s="625"/>
      <c r="P30" s="625"/>
    </row>
    <row r="31" spans="1:18" ht="19" thickBot="1">
      <c r="A31" s="3" t="s">
        <v>38</v>
      </c>
      <c r="K31" s="73"/>
      <c r="N31" s="625"/>
      <c r="O31" s="625"/>
      <c r="P31" s="625"/>
      <c r="Q31" s="25"/>
      <c r="R31" s="25"/>
    </row>
    <row r="32" spans="1:18" ht="19" thickBot="1">
      <c r="A32" s="643" t="s">
        <v>39</v>
      </c>
      <c r="B32" s="644"/>
      <c r="C32" s="644"/>
      <c r="D32" s="645"/>
      <c r="O32" s="25"/>
      <c r="P32" s="25"/>
      <c r="Q32" s="25"/>
      <c r="R32" s="25"/>
    </row>
    <row r="33" spans="1:18">
      <c r="A33" s="74" t="s">
        <v>26</v>
      </c>
      <c r="B33" s="75" t="s">
        <v>40</v>
      </c>
      <c r="C33" s="76" t="s">
        <v>41</v>
      </c>
      <c r="D33" s="77" t="s">
        <v>42</v>
      </c>
      <c r="E33" s="78" t="s">
        <v>43</v>
      </c>
      <c r="L33" s="79"/>
      <c r="M33" s="79"/>
      <c r="O33" s="25"/>
      <c r="P33" s="25"/>
      <c r="Q33" s="25"/>
      <c r="R33" s="25"/>
    </row>
    <row r="34" spans="1:18" ht="19" thickBot="1">
      <c r="A34" s="31"/>
      <c r="B34" s="80">
        <f>1-0</f>
        <v>1</v>
      </c>
      <c r="C34" s="81">
        <v>0</v>
      </c>
      <c r="D34" s="82">
        <v>0</v>
      </c>
      <c r="E34" s="83">
        <f>SUM(E35:E43)</f>
        <v>1.3891385624294525E-3</v>
      </c>
      <c r="O34" s="25"/>
      <c r="P34" s="25"/>
      <c r="Q34" s="25"/>
      <c r="R34" s="25"/>
    </row>
    <row r="35" spans="1:18">
      <c r="A35" s="31">
        <v>1</v>
      </c>
      <c r="B35" s="80">
        <f t="shared" ref="B35:B43" si="8">1-G21/(E21+G21)</f>
        <v>0.87506128958633334</v>
      </c>
      <c r="C35" s="81">
        <f t="shared" ref="C35:C43" si="9">J21</f>
        <v>0.21566400511681572</v>
      </c>
      <c r="D35" s="82">
        <f t="shared" ref="D35:D43" si="10">D21-F21-H21</f>
        <v>0.20191957326167095</v>
      </c>
      <c r="E35" s="84">
        <f t="shared" ref="E35:E43" si="11">(D35-C35)^2</f>
        <v>1.8890940702071809E-4</v>
      </c>
      <c r="O35" s="25"/>
      <c r="P35" s="25"/>
      <c r="Q35" s="25"/>
      <c r="R35" s="25"/>
    </row>
    <row r="36" spans="1:18">
      <c r="A36" s="31">
        <v>2</v>
      </c>
      <c r="B36" s="80">
        <f t="shared" si="8"/>
        <v>0.80008966167737472</v>
      </c>
      <c r="C36" s="81">
        <f t="shared" si="9"/>
        <v>0.31548563034231325</v>
      </c>
      <c r="D36" s="82">
        <f t="shared" si="10"/>
        <v>0.31035503841067053</v>
      </c>
      <c r="E36" s="85">
        <f t="shared" si="11"/>
        <v>2.632297356903743E-5</v>
      </c>
      <c r="O36" s="25"/>
      <c r="P36" s="25"/>
      <c r="Q36" s="25"/>
      <c r="R36" s="25"/>
    </row>
    <row r="37" spans="1:18">
      <c r="A37" s="31">
        <v>3</v>
      </c>
      <c r="B37" s="80">
        <f t="shared" si="8"/>
        <v>0.75010507522230496</v>
      </c>
      <c r="C37" s="81">
        <f t="shared" si="9"/>
        <v>0.36970972305739841</v>
      </c>
      <c r="D37" s="82">
        <f t="shared" si="10"/>
        <v>0.34904534851000368</v>
      </c>
      <c r="E37" s="85">
        <f t="shared" si="11"/>
        <v>4.2701637543501501E-4</v>
      </c>
      <c r="O37" s="25"/>
      <c r="P37" s="25"/>
      <c r="Q37" s="25"/>
      <c r="R37" s="25"/>
    </row>
    <row r="38" spans="1:18">
      <c r="A38" s="31">
        <v>4</v>
      </c>
      <c r="B38" s="80">
        <f t="shared" si="8"/>
        <v>0.62513135322919444</v>
      </c>
      <c r="C38" s="81">
        <f t="shared" si="9"/>
        <v>0.46213715382174797</v>
      </c>
      <c r="D38" s="82">
        <f t="shared" si="10"/>
        <v>0.46017112375833641</v>
      </c>
      <c r="E38" s="85">
        <f t="shared" si="11"/>
        <v>3.8652742102380674E-6</v>
      </c>
      <c r="O38" s="25"/>
      <c r="P38" s="25"/>
      <c r="Q38" s="25"/>
      <c r="R38" s="25"/>
    </row>
    <row r="39" spans="1:18">
      <c r="A39" s="31">
        <v>5</v>
      </c>
      <c r="B39" s="80">
        <f t="shared" si="8"/>
        <v>0.50014011992724994</v>
      </c>
      <c r="C39" s="81">
        <f t="shared" si="9"/>
        <v>0.49294629740986451</v>
      </c>
      <c r="D39" s="82">
        <f t="shared" si="10"/>
        <v>0.48679689900666906</v>
      </c>
      <c r="E39" s="85">
        <f t="shared" si="11"/>
        <v>3.7815100721222747E-5</v>
      </c>
      <c r="O39" s="25"/>
      <c r="P39" s="25"/>
      <c r="Q39" s="25"/>
      <c r="R39" s="25"/>
    </row>
    <row r="40" spans="1:18">
      <c r="A40" s="31">
        <v>6</v>
      </c>
      <c r="B40" s="80">
        <f t="shared" si="8"/>
        <v>0.37513137163568888</v>
      </c>
      <c r="C40" s="81">
        <f t="shared" si="9"/>
        <v>0.46213715382174797</v>
      </c>
      <c r="D40" s="82">
        <f t="shared" si="10"/>
        <v>0.46552267425500188</v>
      </c>
      <c r="E40" s="85">
        <f t="shared" si="11"/>
        <v>1.1461748603979728E-5</v>
      </c>
      <c r="O40" s="25"/>
      <c r="P40" s="25"/>
      <c r="Q40" s="25"/>
      <c r="R40" s="25"/>
    </row>
    <row r="41" spans="1:18">
      <c r="A41" s="31">
        <v>7</v>
      </c>
      <c r="B41" s="80">
        <f t="shared" si="8"/>
        <v>0.25010510467269664</v>
      </c>
      <c r="C41" s="81">
        <f t="shared" si="9"/>
        <v>0.36970972305739841</v>
      </c>
      <c r="D41" s="82">
        <f t="shared" si="10"/>
        <v>0.37914844950333459</v>
      </c>
      <c r="E41" s="85">
        <f t="shared" si="11"/>
        <v>8.9089556921215132E-5</v>
      </c>
      <c r="O41" s="25"/>
      <c r="P41" s="25"/>
      <c r="Q41" s="25"/>
      <c r="R41" s="25"/>
    </row>
    <row r="42" spans="1:18">
      <c r="A42" s="31">
        <v>8</v>
      </c>
      <c r="B42" s="80">
        <f t="shared" si="8"/>
        <v>0.20008969183457603</v>
      </c>
      <c r="C42" s="81">
        <f t="shared" si="9"/>
        <v>0.31548563034231325</v>
      </c>
      <c r="D42" s="82">
        <f t="shared" si="10"/>
        <v>0.33893875960266767</v>
      </c>
      <c r="E42" s="85">
        <f t="shared" si="11"/>
        <v>5.5004927210289278E-4</v>
      </c>
      <c r="O42" s="25"/>
      <c r="P42" s="25"/>
      <c r="Q42" s="25"/>
      <c r="R42" s="25"/>
    </row>
    <row r="43" spans="1:18" ht="19" thickBot="1">
      <c r="A43" s="31">
        <v>9</v>
      </c>
      <c r="B43" s="80">
        <f t="shared" si="8"/>
        <v>0.12506131535542664</v>
      </c>
      <c r="C43" s="81">
        <f t="shared" si="9"/>
        <v>0.21566400511681572</v>
      </c>
      <c r="D43" s="82">
        <f t="shared" si="10"/>
        <v>0.20827422475166726</v>
      </c>
      <c r="E43" s="86">
        <f t="shared" si="11"/>
        <v>5.4608853845133584E-5</v>
      </c>
      <c r="O43" s="25"/>
      <c r="P43" s="25"/>
      <c r="Q43" s="25"/>
      <c r="R43" s="25"/>
    </row>
    <row r="44" spans="1:18" ht="19" thickBot="1">
      <c r="A44" s="87"/>
      <c r="B44" s="88">
        <f>1-1</f>
        <v>0</v>
      </c>
      <c r="C44" s="89">
        <v>0</v>
      </c>
      <c r="D44" s="90">
        <v>0</v>
      </c>
      <c r="O44" s="25"/>
      <c r="P44" s="25"/>
      <c r="Q44" s="25"/>
      <c r="R44" s="25"/>
    </row>
    <row r="45" spans="1:18">
      <c r="D45" s="91"/>
      <c r="E45" s="91"/>
    </row>
    <row r="46" spans="1:18">
      <c r="G46" s="2" t="s">
        <v>44</v>
      </c>
    </row>
  </sheetData>
  <mergeCells count="4">
    <mergeCell ref="A32:D32"/>
    <mergeCell ref="N8:P17"/>
    <mergeCell ref="N19:P24"/>
    <mergeCell ref="N26:P28"/>
  </mergeCells>
  <phoneticPr fontId="4"/>
  <hyperlinks>
    <hyperlink ref="N5" r:id="rId1"/>
  </hyperlinks>
  <printOptions gridLinesSet="0"/>
  <pageMargins left="0.6692913385826772" right="0.19685039370078741" top="0.55118110236220474" bottom="0.39370078740157483" header="0.11811023622047245" footer="0.11811023622047245"/>
  <pageSetup paperSize="9" scale="65" orientation="landscape" horizontalDpi="4294967292" verticalDpi="4294967292"/>
  <headerFooter>
    <oddFooter>&amp;L&amp;9&amp;F&amp;A&amp;D&amp;T</oddFooter>
  </headerFooter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67"/>
  <sheetViews>
    <sheetView workbookViewId="0">
      <selection activeCell="M4" sqref="M4"/>
    </sheetView>
  </sheetViews>
  <sheetFormatPr baseColWidth="12" defaultColWidth="4.6640625" defaultRowHeight="18" x14ac:dyDescent="0"/>
  <cols>
    <col min="1" max="1" width="15.83203125" style="2" customWidth="1"/>
    <col min="2" max="2" width="8.33203125" style="2" customWidth="1"/>
    <col min="3" max="3" width="10" style="2" customWidth="1"/>
    <col min="4" max="4" width="10.6640625" style="2" bestFit="1" customWidth="1"/>
    <col min="5" max="5" width="8.6640625" style="2" customWidth="1"/>
    <col min="6" max="6" width="9" style="2" customWidth="1"/>
    <col min="7" max="7" width="18.33203125" style="2" customWidth="1"/>
    <col min="8" max="8" width="10.6640625" style="2" bestFit="1" customWidth="1"/>
    <col min="9" max="9" width="15.33203125" style="2" customWidth="1"/>
    <col min="10" max="10" width="13" style="2" bestFit="1" customWidth="1"/>
    <col min="11" max="11" width="14.83203125" style="2" bestFit="1" customWidth="1"/>
    <col min="12" max="12" width="3" style="2" customWidth="1"/>
    <col min="13" max="13" width="26.1640625" style="2" customWidth="1"/>
    <col min="14" max="14" width="21.6640625" style="2" bestFit="1" customWidth="1"/>
    <col min="15" max="15" width="17.33203125" style="2" customWidth="1"/>
    <col min="16" max="24" width="11.33203125" style="2" bestFit="1" customWidth="1"/>
    <col min="25" max="25" width="10.33203125" style="2" bestFit="1" customWidth="1"/>
    <col min="26" max="26" width="4.1640625" style="2" customWidth="1"/>
    <col min="27" max="27" width="10.83203125" style="2" customWidth="1"/>
    <col min="28" max="16384" width="4.6640625" style="2"/>
  </cols>
  <sheetData>
    <row r="1" spans="1:25" s="93" customFormat="1" ht="21" thickBot="1">
      <c r="A1" s="92" t="s">
        <v>353</v>
      </c>
      <c r="F1" s="92" t="s">
        <v>45</v>
      </c>
      <c r="G1" s="94"/>
      <c r="M1" s="628" t="s">
        <v>339</v>
      </c>
      <c r="N1" s="632"/>
      <c r="O1" s="633"/>
    </row>
    <row r="2" spans="1:25" s="96" customFormat="1">
      <c r="A2" s="95" t="s">
        <v>346</v>
      </c>
      <c r="F2" s="97" t="s">
        <v>46</v>
      </c>
      <c r="G2" s="98"/>
      <c r="H2" s="98"/>
      <c r="I2" s="99"/>
      <c r="M2" s="629" t="s">
        <v>340</v>
      </c>
      <c r="N2" s="634"/>
      <c r="O2" s="635"/>
    </row>
    <row r="3" spans="1:25" s="96" customFormat="1" ht="19" thickBot="1">
      <c r="F3" s="100" t="s">
        <v>47</v>
      </c>
      <c r="G3" s="101"/>
      <c r="H3" s="101"/>
      <c r="I3" s="102"/>
      <c r="M3" s="630" t="s">
        <v>338</v>
      </c>
      <c r="N3" s="636"/>
      <c r="O3" s="637"/>
      <c r="W3" s="103"/>
      <c r="X3" s="103"/>
      <c r="Y3" s="103"/>
    </row>
    <row r="4" spans="1:25" s="96" customFormat="1">
      <c r="A4" s="104" t="s">
        <v>48</v>
      </c>
      <c r="F4" s="105" t="s">
        <v>49</v>
      </c>
      <c r="G4" s="106" t="s">
        <v>50</v>
      </c>
      <c r="H4" s="107"/>
      <c r="I4" s="106" t="s">
        <v>51</v>
      </c>
      <c r="M4" s="630" t="s">
        <v>358</v>
      </c>
      <c r="N4" s="636"/>
      <c r="O4" s="637"/>
      <c r="W4" s="108"/>
      <c r="X4" s="108"/>
      <c r="Y4" s="108"/>
    </row>
    <row r="5" spans="1:25" s="96" customFormat="1" ht="15">
      <c r="A5" s="104" t="s">
        <v>52</v>
      </c>
      <c r="F5" s="105" t="s">
        <v>53</v>
      </c>
      <c r="G5" s="106" t="s">
        <v>54</v>
      </c>
      <c r="H5" s="107"/>
      <c r="M5" s="630" t="s">
        <v>357</v>
      </c>
      <c r="N5" s="638"/>
      <c r="O5" s="639"/>
    </row>
    <row r="6" spans="1:25" s="96" customFormat="1" ht="16" thickBot="1">
      <c r="A6" s="109" t="s">
        <v>55</v>
      </c>
      <c r="F6" s="110" t="s">
        <v>56</v>
      </c>
      <c r="G6" s="111" t="s">
        <v>57</v>
      </c>
      <c r="H6" s="112"/>
      <c r="M6" s="631" t="s">
        <v>342</v>
      </c>
      <c r="N6" s="640"/>
      <c r="O6" s="641"/>
    </row>
    <row r="7" spans="1:25" s="96" customFormat="1" ht="15">
      <c r="A7" s="109" t="s">
        <v>58</v>
      </c>
      <c r="F7" s="113" t="s">
        <v>59</v>
      </c>
      <c r="G7" s="114"/>
    </row>
    <row r="8" spans="1:25" s="96" customFormat="1" ht="19" thickBot="1">
      <c r="A8" s="109" t="s">
        <v>60</v>
      </c>
      <c r="F8" s="105" t="s">
        <v>61</v>
      </c>
      <c r="G8" s="107"/>
      <c r="M8" s="651" t="s">
        <v>343</v>
      </c>
      <c r="N8" s="651"/>
      <c r="O8" s="651"/>
    </row>
    <row r="9" spans="1:25" s="96" customFormat="1" ht="19" thickBot="1">
      <c r="F9" s="115" t="s">
        <v>62</v>
      </c>
      <c r="G9" s="116"/>
      <c r="M9" s="651"/>
      <c r="N9" s="651"/>
      <c r="O9" s="651"/>
    </row>
    <row r="10" spans="1:25" s="92" customFormat="1" ht="16" thickBot="1">
      <c r="A10" s="92" t="s">
        <v>63</v>
      </c>
      <c r="M10" s="651"/>
      <c r="N10" s="651"/>
      <c r="O10" s="651"/>
    </row>
    <row r="11" spans="1:25" s="96" customFormat="1" ht="14" thickBot="1">
      <c r="A11" s="117" t="s">
        <v>64</v>
      </c>
      <c r="B11" s="118" t="s">
        <v>65</v>
      </c>
      <c r="C11" s="119"/>
      <c r="D11" s="120" t="s">
        <v>66</v>
      </c>
      <c r="E11" s="121" t="s">
        <v>67</v>
      </c>
      <c r="F11" s="122" t="s">
        <v>68</v>
      </c>
      <c r="G11" s="123" t="s">
        <v>69</v>
      </c>
      <c r="H11" s="121" t="s">
        <v>70</v>
      </c>
      <c r="I11" s="124" t="s">
        <v>71</v>
      </c>
      <c r="M11" s="651"/>
      <c r="N11" s="651"/>
      <c r="O11" s="651"/>
    </row>
    <row r="12" spans="1:25" s="96" customFormat="1" ht="14" thickTop="1">
      <c r="A12" s="125" t="s">
        <v>72</v>
      </c>
      <c r="B12" s="126" t="s">
        <v>73</v>
      </c>
      <c r="C12" s="127" t="s">
        <v>74</v>
      </c>
      <c r="D12" s="128">
        <v>1.8827966347548593E-5</v>
      </c>
      <c r="E12" s="128">
        <v>2.1547996272134204E-2</v>
      </c>
      <c r="F12" s="129">
        <v>0.64769999999999994</v>
      </c>
      <c r="G12" s="130">
        <f>D12*$B$15</f>
        <v>1.8827966347548593E-5</v>
      </c>
      <c r="H12" s="131">
        <f>E12*$B$16</f>
        <v>2.1547996272134204E-2</v>
      </c>
      <c r="I12" s="132">
        <f>F12-G12-H12</f>
        <v>0.62613317576151817</v>
      </c>
      <c r="M12" s="651"/>
      <c r="N12" s="651"/>
      <c r="O12" s="651"/>
    </row>
    <row r="13" spans="1:25" s="96" customFormat="1">
      <c r="A13" s="125" t="s">
        <v>75</v>
      </c>
      <c r="B13" s="133">
        <v>30</v>
      </c>
      <c r="C13" s="127" t="s">
        <v>76</v>
      </c>
      <c r="D13" s="128">
        <v>1.8827966347548593E-5</v>
      </c>
      <c r="E13" s="128">
        <v>1.6160997204100653E-2</v>
      </c>
      <c r="F13" s="129">
        <v>0.60260000000000002</v>
      </c>
      <c r="G13" s="130">
        <f>D13*$B$15</f>
        <v>1.8827966347548593E-5</v>
      </c>
      <c r="H13" s="131">
        <f>E13*$B$16</f>
        <v>1.6160997204100653E-2</v>
      </c>
      <c r="I13" s="132">
        <f>F13-G13-H13</f>
        <v>0.58642017482955178</v>
      </c>
      <c r="M13" s="627"/>
      <c r="N13" s="627"/>
      <c r="O13" s="627"/>
    </row>
    <row r="14" spans="1:25" s="96" customFormat="1" ht="14">
      <c r="A14" s="134" t="s">
        <v>77</v>
      </c>
      <c r="B14" s="135">
        <v>580</v>
      </c>
      <c r="C14" s="127" t="s">
        <v>78</v>
      </c>
      <c r="D14" s="128">
        <v>1.8827966347548593E-5</v>
      </c>
      <c r="E14" s="128">
        <v>1.0773998136067102E-2</v>
      </c>
      <c r="F14" s="129">
        <v>0.53759999999999997</v>
      </c>
      <c r="G14" s="130">
        <f>D14*$B$15</f>
        <v>1.8827966347548593E-5</v>
      </c>
      <c r="H14" s="131">
        <f>E14*$B$16</f>
        <v>1.0773998136067102E-2</v>
      </c>
      <c r="I14" s="132">
        <f>F14-G14-H14</f>
        <v>0.52680717389758536</v>
      </c>
      <c r="M14" s="646" t="s">
        <v>345</v>
      </c>
      <c r="N14" s="646"/>
      <c r="O14" s="646"/>
      <c r="U14" s="136"/>
    </row>
    <row r="15" spans="1:25" s="96" customFormat="1" ht="14" customHeight="1">
      <c r="A15" s="134" t="s">
        <v>79</v>
      </c>
      <c r="B15" s="135">
        <v>1</v>
      </c>
      <c r="C15" s="127" t="s">
        <v>80</v>
      </c>
      <c r="D15" s="128">
        <v>1.8827966347548593E-5</v>
      </c>
      <c r="E15" s="128">
        <v>7.5417986952469708E-3</v>
      </c>
      <c r="F15" s="129">
        <v>0.47</v>
      </c>
      <c r="G15" s="130">
        <f>D15*$B$15</f>
        <v>1.8827966347548593E-5</v>
      </c>
      <c r="H15" s="131">
        <f>E15*$B$16</f>
        <v>7.5417986952469708E-3</v>
      </c>
      <c r="I15" s="132">
        <f>F15-G15-H15</f>
        <v>0.46243937333840546</v>
      </c>
      <c r="M15" s="646"/>
      <c r="N15" s="646"/>
      <c r="O15" s="646"/>
    </row>
    <row r="16" spans="1:25" s="96" customFormat="1" ht="15" customHeight="1" thickBot="1">
      <c r="A16" s="137" t="s">
        <v>81</v>
      </c>
      <c r="B16" s="138">
        <v>1</v>
      </c>
      <c r="C16" s="139" t="s">
        <v>82</v>
      </c>
      <c r="D16" s="140">
        <v>1.8827966347548593E-5</v>
      </c>
      <c r="E16" s="140">
        <v>4.3095992544268406E-3</v>
      </c>
      <c r="F16" s="141">
        <v>0.35539999999999999</v>
      </c>
      <c r="G16" s="142">
        <f>D16*$B$15</f>
        <v>1.8827966347548593E-5</v>
      </c>
      <c r="H16" s="143">
        <f>E16*$B$16</f>
        <v>4.3095992544268406E-3</v>
      </c>
      <c r="I16" s="144">
        <f>F16-G16-H16</f>
        <v>0.35107157277922557</v>
      </c>
      <c r="M16" s="646"/>
      <c r="N16" s="646"/>
      <c r="O16" s="646"/>
      <c r="P16" s="93"/>
    </row>
    <row r="17" spans="1:16" s="93" customFormat="1" ht="15" customHeight="1">
      <c r="E17" s="145"/>
      <c r="F17" s="146"/>
      <c r="G17" s="147"/>
      <c r="H17" s="148"/>
      <c r="J17" s="149"/>
      <c r="M17" s="646"/>
      <c r="N17" s="646"/>
      <c r="O17" s="646"/>
      <c r="P17" s="92"/>
    </row>
    <row r="18" spans="1:16" s="92" customFormat="1" ht="21" thickBot="1">
      <c r="A18" s="92" t="s">
        <v>83</v>
      </c>
      <c r="E18" s="92" t="s">
        <v>84</v>
      </c>
      <c r="I18" s="92" t="s">
        <v>85</v>
      </c>
      <c r="M18" s="646"/>
      <c r="N18" s="646"/>
      <c r="O18" s="646"/>
      <c r="P18" s="96"/>
    </row>
    <row r="19" spans="1:16" s="96" customFormat="1" ht="14" customHeight="1" thickBot="1">
      <c r="A19" s="150" t="s">
        <v>86</v>
      </c>
      <c r="B19" s="151" t="s">
        <v>49</v>
      </c>
      <c r="C19" s="151" t="s">
        <v>53</v>
      </c>
      <c r="D19" s="152" t="s">
        <v>56</v>
      </c>
      <c r="E19" s="647" t="s">
        <v>87</v>
      </c>
      <c r="F19" s="648"/>
      <c r="G19" s="153" t="s">
        <v>88</v>
      </c>
      <c r="H19" s="154" t="s">
        <v>89</v>
      </c>
      <c r="I19" s="155" t="s">
        <v>90</v>
      </c>
      <c r="J19" s="156" t="s">
        <v>88</v>
      </c>
      <c r="K19" s="154" t="s">
        <v>89</v>
      </c>
      <c r="M19" s="646"/>
      <c r="N19" s="646"/>
      <c r="O19" s="646"/>
    </row>
    <row r="20" spans="1:16" s="96" customFormat="1" ht="14" customHeight="1" thickTop="1">
      <c r="A20" s="157" t="str">
        <f>C12</f>
        <v>n=1</v>
      </c>
      <c r="B20" s="158">
        <f>I12</f>
        <v>0.62613317576151817</v>
      </c>
      <c r="C20" s="131">
        <f>-(D12+E12)</f>
        <v>-2.1566824238481754E-2</v>
      </c>
      <c r="D20" s="159">
        <f>E12*D12/I12</f>
        <v>6.479531262265687E-7</v>
      </c>
      <c r="E20" s="160">
        <v>1</v>
      </c>
      <c r="F20" s="161">
        <v>2</v>
      </c>
      <c r="G20" s="162">
        <f>(-(C20-C21)-((C20-C21)^2-4*(D20-D21)*(B20-B21))^0.5)/2/(D20-D21)</f>
        <v>7.3733107913744576</v>
      </c>
      <c r="H20" s="159">
        <f>(-(C20-C21)+((C20-C21)^2-4*(D20-D21)*(B20-B21))^0.5)/2/(D20-D21)</f>
        <v>41727.00252312122</v>
      </c>
      <c r="I20" s="163">
        <f t="shared" ref="I20:I29" si="0">G20-H20</f>
        <v>-41719.629212329848</v>
      </c>
      <c r="J20" s="164">
        <f t="shared" ref="J20:J29" si="1">IF(I20&gt;0,G20,H20)</f>
        <v>41727.00252312122</v>
      </c>
      <c r="K20" s="159">
        <f t="shared" ref="K20:K29" si="2">IF(I20&lt;0,G20,H20)</f>
        <v>7.3733107913744576</v>
      </c>
      <c r="M20" s="625"/>
      <c r="N20" s="625"/>
      <c r="O20" s="625"/>
    </row>
    <row r="21" spans="1:16" s="96" customFormat="1" ht="13">
      <c r="A21" s="157" t="str">
        <f>C13</f>
        <v>n=2</v>
      </c>
      <c r="B21" s="158">
        <f>I13</f>
        <v>0.58642017482955178</v>
      </c>
      <c r="C21" s="131">
        <f>-(D13+E13)</f>
        <v>-1.6179825170448203E-2</v>
      </c>
      <c r="D21" s="159">
        <f>E13*D13/I13</f>
        <v>5.188749032893953E-7</v>
      </c>
      <c r="E21" s="160">
        <v>2</v>
      </c>
      <c r="F21" s="161">
        <v>3</v>
      </c>
      <c r="G21" s="162">
        <f>(-(C21-C22)-((C21-C22)^2-4*(D21-D22)*(B21-B22))^0.5)/2/(D21-D22)</f>
        <v>11.06913068171224</v>
      </c>
      <c r="H21" s="159">
        <f>(-(C21-C22)+((C21-C22)^2-4*(D21-D22)*(B21-B22))^0.5)/2/(D21-D22)</f>
        <v>40246.083693448476</v>
      </c>
      <c r="I21" s="165">
        <f t="shared" si="0"/>
        <v>-40235.014562766766</v>
      </c>
      <c r="J21" s="166">
        <f t="shared" si="1"/>
        <v>40246.083693448476</v>
      </c>
      <c r="K21" s="159">
        <f t="shared" si="2"/>
        <v>11.06913068171224</v>
      </c>
      <c r="M21" s="646" t="s">
        <v>344</v>
      </c>
      <c r="N21" s="646"/>
      <c r="O21" s="646"/>
    </row>
    <row r="22" spans="1:16" s="96" customFormat="1" ht="15" customHeight="1">
      <c r="A22" s="157" t="str">
        <f>C14</f>
        <v>n=3</v>
      </c>
      <c r="B22" s="158">
        <f>I14</f>
        <v>0.52680717389758536</v>
      </c>
      <c r="C22" s="131">
        <f>-(D14+E14)</f>
        <v>-1.079282610241465E-2</v>
      </c>
      <c r="D22" s="159">
        <f>E14*D14/I14</f>
        <v>3.8506019732726432E-7</v>
      </c>
      <c r="E22" s="160">
        <v>3</v>
      </c>
      <c r="F22" s="161">
        <v>4</v>
      </c>
      <c r="G22" s="162">
        <f>(-(C22-C23)-((C22-C23)^2-4*(D22-D23)*(B22-B23))^0.5)/2/(D22-D23)</f>
        <v>19.924130756590813</v>
      </c>
      <c r="H22" s="159">
        <f>(-(C22-C23)+((C22-C23)^2-4*(D22-D23)*(B22-B23))^0.5)/2/(D22-D23)</f>
        <v>41418.538056387632</v>
      </c>
      <c r="I22" s="165">
        <f t="shared" si="0"/>
        <v>-41398.613925631042</v>
      </c>
      <c r="J22" s="166">
        <f t="shared" si="1"/>
        <v>41418.538056387632</v>
      </c>
      <c r="K22" s="159">
        <f t="shared" si="2"/>
        <v>19.924130756590813</v>
      </c>
      <c r="M22" s="646"/>
      <c r="N22" s="646"/>
      <c r="O22" s="646"/>
    </row>
    <row r="23" spans="1:16" s="96" customFormat="1" ht="15" customHeight="1">
      <c r="A23" s="157" t="str">
        <f>C15</f>
        <v>n=4</v>
      </c>
      <c r="B23" s="158">
        <f>I15</f>
        <v>0.46243937333840546</v>
      </c>
      <c r="C23" s="131">
        <f>-(D15+E15)</f>
        <v>-7.5606266615945196E-3</v>
      </c>
      <c r="D23" s="159">
        <f>E15*D15/I15</f>
        <v>3.0706021204250922E-7</v>
      </c>
      <c r="E23" s="160">
        <v>4</v>
      </c>
      <c r="F23" s="161">
        <v>5</v>
      </c>
      <c r="G23" s="162">
        <f>(-(C23-C24)-((C23-C24)^2-4*(D23-D24)*(B23-B24))^0.5)/2/(D23-D24)</f>
        <v>34.483669832876515</v>
      </c>
      <c r="H23" s="159">
        <f>(-(C23-C24)+((C23-C24)^2-4*(D23-D24)*(B23-B24))^0.5)/2/(D23-D24)</f>
        <v>42530.059445402607</v>
      </c>
      <c r="I23" s="165">
        <f t="shared" si="0"/>
        <v>-42495.575775569727</v>
      </c>
      <c r="J23" s="166">
        <f t="shared" si="1"/>
        <v>42530.059445402607</v>
      </c>
      <c r="K23" s="159">
        <f t="shared" si="2"/>
        <v>34.483669832876515</v>
      </c>
      <c r="M23" s="646"/>
      <c r="N23" s="646"/>
      <c r="O23" s="646"/>
    </row>
    <row r="24" spans="1:16" s="96" customFormat="1" ht="15" customHeight="1" thickBot="1">
      <c r="A24" s="157" t="str">
        <f>C16</f>
        <v>n=5</v>
      </c>
      <c r="B24" s="158">
        <f>I16</f>
        <v>0.35107157277922557</v>
      </c>
      <c r="C24" s="131">
        <f>-(D16+E16)</f>
        <v>-4.3284272207743894E-3</v>
      </c>
      <c r="D24" s="159">
        <f>E16*D16/I16</f>
        <v>2.3112378222885989E-7</v>
      </c>
      <c r="E24" s="160">
        <v>5</v>
      </c>
      <c r="F24" s="161">
        <v>1</v>
      </c>
      <c r="G24" s="167">
        <f>(-(C24-C25)+((C24-C25)^2-4*(D24-D25)*(B24-B25))^0.5)/2/(D24-D25)</f>
        <v>15.962494153302556</v>
      </c>
      <c r="H24" s="159">
        <f>(-(C24-C25)-((C24-C25)^2-4*(D24-D25)*(B24-B25))^0.5)/2/(D24-D25)</f>
        <v>41340.043904959806</v>
      </c>
      <c r="I24" s="165">
        <f t="shared" si="0"/>
        <v>-41324.081410806502</v>
      </c>
      <c r="J24" s="166">
        <f t="shared" si="1"/>
        <v>41340.043904959806</v>
      </c>
      <c r="K24" s="159">
        <f t="shared" si="2"/>
        <v>15.962494153302556</v>
      </c>
      <c r="M24" s="627"/>
      <c r="N24" s="627"/>
      <c r="O24" s="627"/>
    </row>
    <row r="25" spans="1:16" s="96" customFormat="1" ht="15" customHeight="1">
      <c r="A25" s="168" t="str">
        <f t="shared" ref="A25:D29" si="3">A20</f>
        <v>n=1</v>
      </c>
      <c r="B25" s="169">
        <f t="shared" si="3"/>
        <v>0.62613317576151817</v>
      </c>
      <c r="C25" s="170">
        <f t="shared" si="3"/>
        <v>-2.1566824238481754E-2</v>
      </c>
      <c r="D25" s="171">
        <f t="shared" si="3"/>
        <v>6.479531262265687E-7</v>
      </c>
      <c r="E25" s="160">
        <v>1</v>
      </c>
      <c r="F25" s="161">
        <v>3</v>
      </c>
      <c r="G25" s="162">
        <f>(-(C20-C22)-((C20-C22)^2-4*(D20-D22)*(B20-B22))^0.5)/2/(D20-D22)</f>
        <v>9.2211223872409569</v>
      </c>
      <c r="H25" s="159">
        <f>(-(C20-C22)+((C20-C22)^2-4*(D20-D22)*(B20-B22))^0.5)/2/(D20-D22)</f>
        <v>40973.235808562989</v>
      </c>
      <c r="I25" s="165">
        <f t="shared" si="0"/>
        <v>-40964.014686175746</v>
      </c>
      <c r="J25" s="166">
        <f t="shared" si="1"/>
        <v>40973.235808562989</v>
      </c>
      <c r="K25" s="159">
        <f t="shared" si="2"/>
        <v>9.2211223872409569</v>
      </c>
      <c r="M25" s="627"/>
      <c r="N25" s="627"/>
      <c r="O25" s="627"/>
    </row>
    <row r="26" spans="1:16" s="96" customFormat="1" ht="13">
      <c r="A26" s="157" t="str">
        <f t="shared" si="3"/>
        <v>n=2</v>
      </c>
      <c r="B26" s="158">
        <f t="shared" si="3"/>
        <v>0.58642017482955178</v>
      </c>
      <c r="C26" s="131">
        <f t="shared" si="3"/>
        <v>-1.6179825170448203E-2</v>
      </c>
      <c r="D26" s="159">
        <f t="shared" si="3"/>
        <v>5.188749032893953E-7</v>
      </c>
      <c r="E26" s="160">
        <v>2</v>
      </c>
      <c r="F26" s="161">
        <v>4</v>
      </c>
      <c r="G26" s="162">
        <f>(-(C21-C23)-((C21-C23)^2-4*(D21-D23)*(B21-B23))^0.5)/2/(D21-D23)</f>
        <v>14.389349347319296</v>
      </c>
      <c r="H26" s="159">
        <f>(-(C21-C23)+((C21-C23)^2-4*(D21-D23)*(B21-B23))^0.5)/2/(D21-D23)</f>
        <v>40677.776326768857</v>
      </c>
      <c r="I26" s="165">
        <f t="shared" si="0"/>
        <v>-40663.386977421535</v>
      </c>
      <c r="J26" s="166">
        <f t="shared" si="1"/>
        <v>40677.776326768857</v>
      </c>
      <c r="K26" s="159">
        <f t="shared" si="2"/>
        <v>14.389349347319296</v>
      </c>
    </row>
    <row r="27" spans="1:16" s="96" customFormat="1" ht="13">
      <c r="A27" s="157" t="str">
        <f t="shared" si="3"/>
        <v>n=3</v>
      </c>
      <c r="B27" s="158">
        <f t="shared" si="3"/>
        <v>0.52680717389758536</v>
      </c>
      <c r="C27" s="131">
        <f t="shared" si="3"/>
        <v>-1.079282610241465E-2</v>
      </c>
      <c r="D27" s="159">
        <f t="shared" si="3"/>
        <v>3.8506019732726432E-7</v>
      </c>
      <c r="E27" s="160">
        <v>3</v>
      </c>
      <c r="F27" s="161">
        <v>5</v>
      </c>
      <c r="G27" s="162">
        <f>(-(C22-C24)-((C22-C24)^2-4*(D22-D24)*(B22-B24))^0.5)/2/(D22-D24)</f>
        <v>27.202763288090154</v>
      </c>
      <c r="H27" s="159">
        <f>(-(C22-C24)+((C22-C24)^2-4*(D22-D24)*(B22-B24))^0.5)/2/(D22-D24)</f>
        <v>41966.752192125605</v>
      </c>
      <c r="I27" s="165">
        <f t="shared" si="0"/>
        <v>-41939.549428837512</v>
      </c>
      <c r="J27" s="166">
        <f t="shared" si="1"/>
        <v>41966.752192125605</v>
      </c>
      <c r="K27" s="159">
        <f t="shared" si="2"/>
        <v>27.202763288090154</v>
      </c>
    </row>
    <row r="28" spans="1:16" s="96" customFormat="1" ht="13">
      <c r="A28" s="157" t="str">
        <f t="shared" si="3"/>
        <v>n=4</v>
      </c>
      <c r="B28" s="158">
        <f t="shared" si="3"/>
        <v>0.46243937333840546</v>
      </c>
      <c r="C28" s="131">
        <f t="shared" si="3"/>
        <v>-7.5606266615945196E-3</v>
      </c>
      <c r="D28" s="159">
        <f t="shared" si="3"/>
        <v>3.0706021204250922E-7</v>
      </c>
      <c r="E28" s="160">
        <v>4</v>
      </c>
      <c r="F28" s="161">
        <v>1</v>
      </c>
      <c r="G28" s="162">
        <f>(-(C23-C25)+((C23-C25)^2-4*(D23-D25)*(B23-B25))^0.5)/2/(D23-D25)</f>
        <v>11.690567060765785</v>
      </c>
      <c r="H28" s="159">
        <f>(-(C23-C25)-((C23-C25)^2-4*(D23-D25)*(B23-B25))^0.5)/2/(D23-D25)</f>
        <v>41075.105297885901</v>
      </c>
      <c r="I28" s="165">
        <f t="shared" si="0"/>
        <v>-41063.414730825134</v>
      </c>
      <c r="J28" s="166">
        <f t="shared" si="1"/>
        <v>41075.105297885901</v>
      </c>
      <c r="K28" s="159">
        <f t="shared" si="2"/>
        <v>11.690567060765785</v>
      </c>
    </row>
    <row r="29" spans="1:16" s="96" customFormat="1" ht="14" thickBot="1">
      <c r="A29" s="172" t="str">
        <f t="shared" si="3"/>
        <v>n=5</v>
      </c>
      <c r="B29" s="173">
        <f t="shared" si="3"/>
        <v>0.35107157277922557</v>
      </c>
      <c r="C29" s="143">
        <f t="shared" si="3"/>
        <v>-4.3284272207743894E-3</v>
      </c>
      <c r="D29" s="174">
        <f t="shared" si="3"/>
        <v>2.3112378222885989E-7</v>
      </c>
      <c r="E29" s="175">
        <v>5</v>
      </c>
      <c r="F29" s="176">
        <v>2</v>
      </c>
      <c r="G29" s="177">
        <f>(-(C24-C26)+((C24-C26)^2-4*(D24-D26)*(B24-B26))^0.5)/2/(D24-D26)</f>
        <v>19.867882915394336</v>
      </c>
      <c r="H29" s="174">
        <f>(-(C24-C26)-((C24-C26)^2-4*(D24-D26)*(B24-B26))^0.5)/2/(D24-D26)</f>
        <v>41166.411100097102</v>
      </c>
      <c r="I29" s="178">
        <f t="shared" si="0"/>
        <v>-41146.543217181708</v>
      </c>
      <c r="J29" s="166">
        <f t="shared" si="1"/>
        <v>41166.411100097102</v>
      </c>
      <c r="K29" s="174">
        <f t="shared" si="2"/>
        <v>19.867882915394336</v>
      </c>
    </row>
    <row r="30" spans="1:16" s="96" customFormat="1" ht="16" thickBot="1">
      <c r="J30" s="179">
        <f>AVERAGE(J20:J29)</f>
        <v>41312.100834876022</v>
      </c>
      <c r="K30" s="180">
        <f>AVERAGE(K20:K29)</f>
        <v>17.11844212146671</v>
      </c>
      <c r="M30" s="92"/>
      <c r="N30" s="92"/>
      <c r="O30" s="92"/>
      <c r="P30" s="92"/>
    </row>
    <row r="31" spans="1:16" s="92" customFormat="1" ht="15">
      <c r="A31" s="92" t="s">
        <v>91</v>
      </c>
      <c r="M31" s="96"/>
      <c r="N31" s="96"/>
      <c r="O31" s="96"/>
      <c r="P31" s="96"/>
    </row>
    <row r="32" spans="1:16" s="96" customFormat="1">
      <c r="A32" s="181" t="s">
        <v>92</v>
      </c>
      <c r="B32" s="182" t="s">
        <v>93</v>
      </c>
      <c r="C32" s="183"/>
      <c r="D32" s="183"/>
      <c r="E32" s="183"/>
      <c r="F32" s="183"/>
      <c r="G32" s="183"/>
      <c r="H32" s="183"/>
      <c r="I32" s="183"/>
      <c r="J32" s="183"/>
      <c r="K32" s="114"/>
    </row>
    <row r="33" spans="1:16" s="96" customFormat="1" ht="14" thickBot="1">
      <c r="A33" s="184" t="s">
        <v>94</v>
      </c>
      <c r="B33" s="185">
        <v>50</v>
      </c>
      <c r="C33" s="186">
        <f t="shared" ref="C33:I33" si="4">B33*SQRT(SQRT(SQRT($K$33/$B$33)))</f>
        <v>121.30191582128272</v>
      </c>
      <c r="D33" s="186">
        <f t="shared" si="4"/>
        <v>294.28309563827116</v>
      </c>
      <c r="E33" s="186">
        <f t="shared" si="4"/>
        <v>713.9420658948012</v>
      </c>
      <c r="F33" s="186">
        <f t="shared" si="4"/>
        <v>1732.050807568877</v>
      </c>
      <c r="G33" s="186">
        <f t="shared" si="4"/>
        <v>4202.0216251580932</v>
      </c>
      <c r="H33" s="186">
        <f t="shared" si="4"/>
        <v>10194.265469082733</v>
      </c>
      <c r="I33" s="186">
        <f t="shared" si="4"/>
        <v>24731.678635809658</v>
      </c>
      <c r="J33" s="186">
        <f>AVERAGE(I33,K33)</f>
        <v>42365.839317904829</v>
      </c>
      <c r="K33" s="187">
        <v>60000</v>
      </c>
    </row>
    <row r="34" spans="1:16" s="96" customFormat="1" ht="14" thickTop="1">
      <c r="A34" s="188" t="str">
        <f>C12</f>
        <v>n=1</v>
      </c>
      <c r="B34" s="108">
        <f t="shared" ref="B34:K38" si="5">$B20/B$33+$C20+$D20*B$33</f>
        <v>-9.0117630669400619E-3</v>
      </c>
      <c r="C34" s="108">
        <f t="shared" si="5"/>
        <v>-1.6326451454190483E-2</v>
      </c>
      <c r="D34" s="108">
        <f t="shared" si="5"/>
        <v>-1.9248486649096383E-2</v>
      </c>
      <c r="E34" s="108">
        <f t="shared" si="5"/>
        <v>-2.0227214863347626E-2</v>
      </c>
      <c r="F34" s="108">
        <f t="shared" si="5"/>
        <v>-2.0083038345359776E-2</v>
      </c>
      <c r="G34" s="108">
        <f t="shared" si="5"/>
        <v>-1.8695103585646102E-2</v>
      </c>
      <c r="H34" s="108">
        <f t="shared" si="5"/>
        <v>-1.4899997921791065E-2</v>
      </c>
      <c r="I34" s="108">
        <f t="shared" si="5"/>
        <v>-5.5165386983183351E-3</v>
      </c>
      <c r="J34" s="108">
        <f t="shared" si="5"/>
        <v>5.8990329919012333E-3</v>
      </c>
      <c r="K34" s="189">
        <f t="shared" si="5"/>
        <v>1.7320798888041729E-2</v>
      </c>
    </row>
    <row r="35" spans="1:16" s="96" customFormat="1" ht="13">
      <c r="A35" s="188" t="str">
        <f>C13</f>
        <v>n=2</v>
      </c>
      <c r="B35" s="108">
        <f t="shared" si="5"/>
        <v>-4.4254779286926971E-3</v>
      </c>
      <c r="C35" s="108">
        <f t="shared" si="5"/>
        <v>-1.1282499547461017E-2</v>
      </c>
      <c r="D35" s="108">
        <f t="shared" si="5"/>
        <v>-1.4034421411446403E-2</v>
      </c>
      <c r="E35" s="108">
        <f t="shared" si="5"/>
        <v>-1.4987995131365218E-2</v>
      </c>
      <c r="F35" s="108">
        <f t="shared" si="5"/>
        <v>-1.4942537629382514E-2</v>
      </c>
      <c r="G35" s="108">
        <f t="shared" si="5"/>
        <v>-1.3859944929040949E-2</v>
      </c>
      <c r="H35" s="108">
        <f t="shared" si="5"/>
        <v>-1.0832752146273616E-2</v>
      </c>
      <c r="I35" s="108">
        <f t="shared" si="5"/>
        <v>-3.3234665132137031E-3</v>
      </c>
      <c r="J35" s="108">
        <f t="shared" si="5"/>
        <v>5.816587424930228E-3</v>
      </c>
      <c r="K35" s="189">
        <f t="shared" si="5"/>
        <v>1.496244269649601E-2</v>
      </c>
    </row>
    <row r="36" spans="1:16" s="96" customFormat="1" ht="13">
      <c r="A36" s="188" t="str">
        <f>C14</f>
        <v>n=3</v>
      </c>
      <c r="B36" s="108">
        <f t="shared" si="5"/>
        <v>-2.3742961459657935E-4</v>
      </c>
      <c r="C36" s="108">
        <f t="shared" si="5"/>
        <v>-6.4031756534809392E-3</v>
      </c>
      <c r="D36" s="108">
        <f t="shared" si="5"/>
        <v>-8.8893720016283602E-3</v>
      </c>
      <c r="E36" s="108">
        <f t="shared" si="5"/>
        <v>-9.780030383972271E-3</v>
      </c>
      <c r="F36" s="108">
        <f t="shared" si="5"/>
        <v>-9.8217300130105344E-3</v>
      </c>
      <c r="G36" s="108">
        <f t="shared" si="5"/>
        <v>-9.0494248922376279E-3</v>
      </c>
      <c r="H36" s="108">
        <f t="shared" si="5"/>
        <v>-6.8157434139701255E-3</v>
      </c>
      <c r="I36" s="108">
        <f t="shared" si="5"/>
        <v>-1.2483401401879052E-3</v>
      </c>
      <c r="J36" s="108">
        <f t="shared" si="5"/>
        <v>5.5330070611284473E-3</v>
      </c>
      <c r="K36" s="189">
        <f t="shared" si="5"/>
        <v>1.2319565856786171E-2</v>
      </c>
    </row>
    <row r="37" spans="1:16" s="96" customFormat="1" ht="13">
      <c r="A37" s="188" t="str">
        <f>C15</f>
        <v>n=4</v>
      </c>
      <c r="B37" s="108">
        <f t="shared" si="5"/>
        <v>1.7035138157757157E-3</v>
      </c>
      <c r="C37" s="108">
        <f t="shared" si="5"/>
        <v>-3.7110790129510568E-3</v>
      </c>
      <c r="D37" s="108">
        <f t="shared" si="5"/>
        <v>-5.8988541201246509E-3</v>
      </c>
      <c r="E37" s="108">
        <f t="shared" si="5"/>
        <v>-6.6936767104239497E-3</v>
      </c>
      <c r="F37" s="108">
        <f t="shared" si="5"/>
        <v>-6.7617932766732107E-3</v>
      </c>
      <c r="G37" s="108">
        <f t="shared" si="5"/>
        <v>-6.1603013698488269E-3</v>
      </c>
      <c r="H37" s="108">
        <f t="shared" si="5"/>
        <v>-4.3850106482633293E-3</v>
      </c>
      <c r="I37" s="108">
        <f t="shared" si="5"/>
        <v>5.218608513010356E-5</v>
      </c>
      <c r="J37" s="108">
        <f t="shared" si="5"/>
        <v>5.4591523259814364E-3</v>
      </c>
      <c r="K37" s="189">
        <f t="shared" si="5"/>
        <v>1.0870693383845007E-2</v>
      </c>
    </row>
    <row r="38" spans="1:16" s="96" customFormat="1" ht="13">
      <c r="A38" s="190" t="str">
        <f>C16</f>
        <v>n=5</v>
      </c>
      <c r="B38" s="191">
        <f t="shared" si="5"/>
        <v>2.7045604239215653E-3</v>
      </c>
      <c r="C38" s="191">
        <f t="shared" si="5"/>
        <v>-1.4061950244834778E-3</v>
      </c>
      <c r="D38" s="191">
        <f t="shared" si="5"/>
        <v>-3.0674391281445127E-3</v>
      </c>
      <c r="E38" s="191">
        <f t="shared" si="5"/>
        <v>-3.6716814499469738E-3</v>
      </c>
      <c r="F38" s="191">
        <f t="shared" si="5"/>
        <v>-3.725417820067608E-3</v>
      </c>
      <c r="G38" s="191">
        <f t="shared" si="5"/>
        <v>-3.273691835111411E-3</v>
      </c>
      <c r="H38" s="191">
        <f t="shared" si="5"/>
        <v>-1.9378518854389027E-3</v>
      </c>
      <c r="I38" s="191">
        <f t="shared" si="5"/>
        <v>1.4018471045254659E-3</v>
      </c>
      <c r="J38" s="191">
        <f t="shared" si="5"/>
        <v>5.4716124659759582E-3</v>
      </c>
      <c r="K38" s="192">
        <f t="shared" si="5"/>
        <v>9.5448509058368575E-3</v>
      </c>
    </row>
    <row r="39" spans="1:16" s="96" customFormat="1" ht="15" customHeight="1">
      <c r="A39" s="193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M39" s="92"/>
      <c r="N39" s="92"/>
      <c r="O39" s="92"/>
      <c r="P39" s="92"/>
    </row>
    <row r="40" spans="1:16" s="92" customFormat="1" ht="20">
      <c r="A40" s="92" t="s">
        <v>95</v>
      </c>
      <c r="F40" s="92" t="s">
        <v>96</v>
      </c>
      <c r="M40" s="96"/>
      <c r="N40" s="96"/>
      <c r="O40" s="96"/>
      <c r="P40" s="96"/>
    </row>
    <row r="41" spans="1:16" s="96" customFormat="1" ht="14" thickBot="1">
      <c r="A41" s="194" t="s">
        <v>97</v>
      </c>
      <c r="B41" s="195" t="s">
        <v>98</v>
      </c>
      <c r="C41" s="196" t="s">
        <v>99</v>
      </c>
      <c r="D41" s="197" t="s">
        <v>100</v>
      </c>
      <c r="F41" s="649" t="s">
        <v>101</v>
      </c>
      <c r="G41" s="650"/>
      <c r="H41" s="198" t="str">
        <f>G19&amp;" Data"</f>
        <v>X1 Data</v>
      </c>
      <c r="I41" s="199" t="s">
        <v>102</v>
      </c>
      <c r="J41" s="198" t="str">
        <f>C41&amp;" Data"</f>
        <v>K1=1/Y1 Data</v>
      </c>
      <c r="K41" s="200" t="str">
        <f>I41</f>
        <v>Check Data Here</v>
      </c>
    </row>
    <row r="42" spans="1:16" s="96" customFormat="1" ht="14" thickTop="1">
      <c r="A42" s="167">
        <f t="shared" ref="A42:B51" si="6">$B20/J20+$C20+$D20*J20</f>
        <v>5.4853229618314001E-3</v>
      </c>
      <c r="B42" s="162">
        <f t="shared" si="6"/>
        <v>6.3356817245218841E-2</v>
      </c>
      <c r="C42" s="201">
        <f t="shared" ref="C42:D51" si="7">1/A42</f>
        <v>182.30467138549801</v>
      </c>
      <c r="D42" s="202">
        <f t="shared" si="7"/>
        <v>15.783621139451476</v>
      </c>
      <c r="F42" s="203">
        <v>1</v>
      </c>
      <c r="G42" s="193">
        <v>2</v>
      </c>
      <c r="H42" s="204">
        <f t="shared" ref="H42:H51" si="8">J20</f>
        <v>41727.00252312122</v>
      </c>
      <c r="I42" s="205">
        <f t="shared" ref="I42:I51" si="9">H42</f>
        <v>41727.00252312122</v>
      </c>
      <c r="J42" s="204">
        <f t="shared" ref="J42:J51" si="10">C42</f>
        <v>182.30467138549801</v>
      </c>
      <c r="K42" s="206">
        <f t="shared" ref="K42:K51" si="11">J42</f>
        <v>182.30467138549801</v>
      </c>
    </row>
    <row r="43" spans="1:16" s="96" customFormat="1" ht="13">
      <c r="A43" s="167">
        <f t="shared" si="6"/>
        <v>4.717428476842464E-3</v>
      </c>
      <c r="B43" s="162">
        <f t="shared" si="6"/>
        <v>3.68038975066542E-2</v>
      </c>
      <c r="C43" s="167">
        <f t="shared" si="7"/>
        <v>211.97989644335513</v>
      </c>
      <c r="D43" s="162">
        <f t="shared" si="7"/>
        <v>27.17103534535163</v>
      </c>
      <c r="F43" s="203">
        <v>2</v>
      </c>
      <c r="G43" s="193">
        <v>3</v>
      </c>
      <c r="H43" s="204">
        <f t="shared" si="8"/>
        <v>40246.083693448476</v>
      </c>
      <c r="I43" s="205">
        <f t="shared" si="9"/>
        <v>40246.083693448476</v>
      </c>
      <c r="J43" s="204">
        <f t="shared" si="10"/>
        <v>211.97989644335513</v>
      </c>
      <c r="K43" s="206">
        <f t="shared" si="11"/>
        <v>211.97989644335513</v>
      </c>
    </row>
    <row r="44" spans="1:16" s="96" customFormat="1" ht="13">
      <c r="A44" s="167">
        <f t="shared" si="6"/>
        <v>5.1685234501938418E-3</v>
      </c>
      <c r="B44" s="162">
        <f t="shared" si="6"/>
        <v>1.5655506226945708E-2</v>
      </c>
      <c r="C44" s="167">
        <f t="shared" si="7"/>
        <v>193.47885515784895</v>
      </c>
      <c r="D44" s="162">
        <f t="shared" si="7"/>
        <v>63.875289978093143</v>
      </c>
      <c r="F44" s="203">
        <v>3</v>
      </c>
      <c r="G44" s="193">
        <v>4</v>
      </c>
      <c r="H44" s="204">
        <f t="shared" si="8"/>
        <v>41418.538056387632</v>
      </c>
      <c r="I44" s="205">
        <f t="shared" si="9"/>
        <v>41418.538056387632</v>
      </c>
      <c r="J44" s="204">
        <f t="shared" si="10"/>
        <v>193.47885515784895</v>
      </c>
      <c r="K44" s="206">
        <f t="shared" si="11"/>
        <v>193.47885515784895</v>
      </c>
    </row>
    <row r="45" spans="1:16" s="96" customFormat="1" ht="13">
      <c r="A45" s="167">
        <f t="shared" si="6"/>
        <v>5.509535645888847E-3</v>
      </c>
      <c r="B45" s="162">
        <f t="shared" si="6"/>
        <v>5.8603493566442124E-3</v>
      </c>
      <c r="C45" s="167">
        <f t="shared" si="7"/>
        <v>181.50349943668823</v>
      </c>
      <c r="D45" s="162">
        <f t="shared" si="7"/>
        <v>170.63829119099239</v>
      </c>
      <c r="F45" s="203">
        <v>4</v>
      </c>
      <c r="G45" s="193">
        <v>5</v>
      </c>
      <c r="H45" s="204">
        <f t="shared" si="8"/>
        <v>42530.059445402607</v>
      </c>
      <c r="I45" s="205">
        <f t="shared" si="9"/>
        <v>42530.059445402607</v>
      </c>
      <c r="J45" s="204">
        <f t="shared" si="10"/>
        <v>181.50349943668823</v>
      </c>
      <c r="K45" s="206">
        <f t="shared" si="11"/>
        <v>181.50349943668823</v>
      </c>
    </row>
    <row r="46" spans="1:16" s="96" customFormat="1" ht="13">
      <c r="A46" s="167">
        <f t="shared" si="6"/>
        <v>5.2347323723858389E-3</v>
      </c>
      <c r="B46" s="162">
        <f t="shared" si="6"/>
        <v>1.7668790759610437E-2</v>
      </c>
      <c r="C46" s="167">
        <f t="shared" si="7"/>
        <v>191.03173359447774</v>
      </c>
      <c r="D46" s="162">
        <f t="shared" si="7"/>
        <v>56.596968836482397</v>
      </c>
      <c r="F46" s="203">
        <v>5</v>
      </c>
      <c r="G46" s="193">
        <v>1</v>
      </c>
      <c r="H46" s="204">
        <f t="shared" si="8"/>
        <v>41340.043904959806</v>
      </c>
      <c r="I46" s="205">
        <f t="shared" si="9"/>
        <v>41340.043904959806</v>
      </c>
      <c r="J46" s="204">
        <f t="shared" si="10"/>
        <v>191.03173359447774</v>
      </c>
      <c r="K46" s="206">
        <f t="shared" si="11"/>
        <v>191.03173359447774</v>
      </c>
    </row>
    <row r="47" spans="1:16" s="96" customFormat="1" ht="13">
      <c r="A47" s="167">
        <f t="shared" si="6"/>
        <v>4.9971935117143519E-3</v>
      </c>
      <c r="B47" s="162">
        <f t="shared" si="6"/>
        <v>4.6341207380085764E-2</v>
      </c>
      <c r="C47" s="167">
        <f t="shared" si="7"/>
        <v>200.11232257782569</v>
      </c>
      <c r="D47" s="162">
        <f t="shared" si="7"/>
        <v>21.579066591815444</v>
      </c>
      <c r="F47" s="203">
        <v>1</v>
      </c>
      <c r="G47" s="193">
        <v>3</v>
      </c>
      <c r="H47" s="204">
        <f t="shared" si="8"/>
        <v>40973.235808562989</v>
      </c>
      <c r="I47" s="205">
        <f t="shared" si="9"/>
        <v>40973.235808562989</v>
      </c>
      <c r="J47" s="204">
        <f t="shared" si="10"/>
        <v>200.11232257782569</v>
      </c>
      <c r="K47" s="206">
        <f t="shared" si="11"/>
        <v>200.11232257782569</v>
      </c>
    </row>
    <row r="48" spans="1:16" s="96" customFormat="1" ht="13">
      <c r="A48" s="167">
        <f t="shared" si="6"/>
        <v>4.9412683170189098E-3</v>
      </c>
      <c r="B48" s="162">
        <f t="shared" si="6"/>
        <v>2.4581407007055515E-2</v>
      </c>
      <c r="C48" s="167">
        <f t="shared" si="7"/>
        <v>202.37719060018676</v>
      </c>
      <c r="D48" s="162">
        <f t="shared" si="7"/>
        <v>40.681153837653532</v>
      </c>
      <c r="F48" s="203">
        <v>2</v>
      </c>
      <c r="G48" s="193">
        <v>4</v>
      </c>
      <c r="H48" s="204">
        <f t="shared" si="8"/>
        <v>40677.776326768857</v>
      </c>
      <c r="I48" s="205">
        <f t="shared" si="9"/>
        <v>40677.776326768857</v>
      </c>
      <c r="J48" s="204">
        <f t="shared" si="10"/>
        <v>202.37719060018676</v>
      </c>
      <c r="K48" s="206">
        <f t="shared" si="11"/>
        <v>202.37719060018676</v>
      </c>
    </row>
    <row r="49" spans="1:16" s="96" customFormat="1" ht="13">
      <c r="A49" s="167">
        <f t="shared" si="6"/>
        <v>5.3794527429284009E-3</v>
      </c>
      <c r="B49" s="162">
        <f t="shared" si="6"/>
        <v>8.5835919893106523E-3</v>
      </c>
      <c r="C49" s="167">
        <f t="shared" si="7"/>
        <v>185.89251505453922</v>
      </c>
      <c r="D49" s="162">
        <f t="shared" si="7"/>
        <v>116.50134363857501</v>
      </c>
      <c r="F49" s="203">
        <v>3</v>
      </c>
      <c r="G49" s="193">
        <v>5</v>
      </c>
      <c r="H49" s="204">
        <f t="shared" si="8"/>
        <v>41966.752192125605</v>
      </c>
      <c r="I49" s="205">
        <f t="shared" si="9"/>
        <v>41966.752192125605</v>
      </c>
      <c r="J49" s="204">
        <f t="shared" si="10"/>
        <v>185.89251505453922</v>
      </c>
      <c r="K49" s="206">
        <f t="shared" si="11"/>
        <v>185.89251505453922</v>
      </c>
    </row>
    <row r="50" spans="1:16" s="96" customFormat="1" ht="13">
      <c r="A50" s="167">
        <f t="shared" si="6"/>
        <v>5.0631622664265089E-3</v>
      </c>
      <c r="B50" s="162">
        <f t="shared" si="6"/>
        <v>3.1999587710951072E-2</v>
      </c>
      <c r="C50" s="167">
        <f t="shared" si="7"/>
        <v>197.50502697314943</v>
      </c>
      <c r="D50" s="162">
        <f t="shared" si="7"/>
        <v>31.250402631211859</v>
      </c>
      <c r="F50" s="203">
        <v>4</v>
      </c>
      <c r="G50" s="193">
        <v>1</v>
      </c>
      <c r="H50" s="204">
        <f t="shared" si="8"/>
        <v>41075.105297885901</v>
      </c>
      <c r="I50" s="205">
        <f t="shared" si="9"/>
        <v>41075.105297885901</v>
      </c>
      <c r="J50" s="204">
        <f t="shared" si="10"/>
        <v>197.50502697314943</v>
      </c>
      <c r="K50" s="206">
        <f t="shared" si="11"/>
        <v>197.50502697314943</v>
      </c>
    </row>
    <row r="51" spans="1:16" s="96" customFormat="1" ht="14" thickBot="1">
      <c r="A51" s="180">
        <f t="shared" si="6"/>
        <v>5.1946375208109683E-3</v>
      </c>
      <c r="B51" s="207">
        <f t="shared" si="6"/>
        <v>1.3346470824767252E-2</v>
      </c>
      <c r="C51" s="180">
        <f t="shared" si="7"/>
        <v>192.50621357000546</v>
      </c>
      <c r="D51" s="207">
        <f t="shared" si="7"/>
        <v>74.926174351970602</v>
      </c>
      <c r="F51" s="208">
        <v>5</v>
      </c>
      <c r="G51" s="209">
        <v>2</v>
      </c>
      <c r="H51" s="210">
        <f t="shared" si="8"/>
        <v>41166.411100097102</v>
      </c>
      <c r="I51" s="211">
        <f t="shared" si="9"/>
        <v>41166.411100097102</v>
      </c>
      <c r="J51" s="210">
        <f t="shared" si="10"/>
        <v>192.50621357000546</v>
      </c>
      <c r="K51" s="212">
        <f t="shared" si="11"/>
        <v>192.50621357000546</v>
      </c>
    </row>
    <row r="52" spans="1:16" s="96" customFormat="1" ht="20" thickTop="1" thickBot="1">
      <c r="C52" s="179">
        <f>AVERAGE(C42:C51)</f>
        <v>193.86919247935748</v>
      </c>
      <c r="D52" s="213">
        <f>AVERAGE(D42:D51)</f>
        <v>61.900334754159758</v>
      </c>
      <c r="F52" s="103"/>
      <c r="G52" s="214" t="s">
        <v>103</v>
      </c>
      <c r="H52" s="215">
        <f>AVERAGE(H42:H51)</f>
        <v>41312.100834876022</v>
      </c>
      <c r="I52" s="216">
        <f>AVERAGE(I42:I51)</f>
        <v>41312.100834876022</v>
      </c>
      <c r="J52" s="217">
        <f>AVERAGE(J42:J51)</f>
        <v>193.86919247935748</v>
      </c>
      <c r="K52" s="217">
        <f>AVERAGE(K42:K51)</f>
        <v>193.86919247935748</v>
      </c>
      <c r="M52" s="2"/>
      <c r="N52" s="2"/>
      <c r="O52" s="2"/>
      <c r="P52" s="2"/>
    </row>
    <row r="53" spans="1:16" ht="20">
      <c r="A53" s="92" t="s">
        <v>104</v>
      </c>
      <c r="B53" s="93"/>
      <c r="C53" s="93"/>
      <c r="D53" s="93"/>
      <c r="E53" s="93"/>
      <c r="F53" s="25"/>
      <c r="G53" s="218" t="s">
        <v>105</v>
      </c>
      <c r="H53" s="215">
        <f>STDEVP(H42:H51)</f>
        <v>618.64583580075748</v>
      </c>
      <c r="I53" s="216">
        <f>STDEVP(I42:I51)</f>
        <v>618.64583580075748</v>
      </c>
      <c r="J53" s="217">
        <f>STDEVP(J42:J51)</f>
        <v>9.0161895440311728</v>
      </c>
      <c r="K53" s="217">
        <f>STDEVP(K42:K51)</f>
        <v>9.0161895440311728</v>
      </c>
      <c r="L53" s="96"/>
    </row>
    <row r="54" spans="1:16" ht="20">
      <c r="A54" s="93"/>
      <c r="B54" s="93"/>
      <c r="C54" s="93"/>
      <c r="D54" s="93"/>
      <c r="E54" s="93"/>
      <c r="F54" s="25"/>
      <c r="G54" s="218"/>
      <c r="H54" s="103"/>
      <c r="I54" s="219"/>
      <c r="J54" s="220"/>
      <c r="K54" s="220"/>
      <c r="L54" s="96"/>
    </row>
    <row r="55" spans="1:16">
      <c r="F55" s="25"/>
      <c r="G55" s="214" t="s">
        <v>106</v>
      </c>
      <c r="H55" s="221">
        <v>0.05</v>
      </c>
      <c r="I55" s="222">
        <f>H55</f>
        <v>0.05</v>
      </c>
      <c r="J55" s="223">
        <f>I55</f>
        <v>0.05</v>
      </c>
      <c r="K55" s="223">
        <f>J55</f>
        <v>0.05</v>
      </c>
      <c r="L55" s="96"/>
    </row>
    <row r="56" spans="1:16">
      <c r="F56" s="25"/>
      <c r="G56" s="218" t="s">
        <v>107</v>
      </c>
      <c r="H56" s="107">
        <f>COUNTA(H42:H51)-1</f>
        <v>9</v>
      </c>
      <c r="I56" s="219">
        <f>COUNTA(I42:I51)-1</f>
        <v>9</v>
      </c>
      <c r="J56" s="220">
        <f>COUNTA(J42:J51)-1</f>
        <v>9</v>
      </c>
      <c r="K56" s="220">
        <f>COUNTA(K42:K51)-1</f>
        <v>9</v>
      </c>
      <c r="L56" s="96"/>
    </row>
    <row r="57" spans="1:16">
      <c r="F57" s="25"/>
      <c r="G57" s="218" t="s">
        <v>108</v>
      </c>
      <c r="H57" s="224">
        <f>TINV(H55,H56)</f>
        <v>2.2621571627982053</v>
      </c>
      <c r="I57" s="225">
        <f>TINV(I55,I56)</f>
        <v>2.2621571627982053</v>
      </c>
      <c r="J57" s="226">
        <f>TINV(J55,J56)</f>
        <v>2.2621571627982053</v>
      </c>
      <c r="K57" s="226">
        <f>TINV(K55,K56)</f>
        <v>2.2621571627982053</v>
      </c>
      <c r="L57" s="96"/>
    </row>
    <row r="58" spans="1:16">
      <c r="F58" s="25"/>
      <c r="G58" s="214"/>
      <c r="H58" s="114"/>
      <c r="I58" s="219"/>
      <c r="J58" s="220"/>
      <c r="K58" s="220"/>
      <c r="L58" s="96"/>
    </row>
    <row r="59" spans="1:16" ht="19" thickBot="1">
      <c r="F59" s="25"/>
      <c r="G59" s="227" t="s">
        <v>109</v>
      </c>
      <c r="H59" s="228">
        <f>1-H55</f>
        <v>0.95</v>
      </c>
      <c r="I59" s="229"/>
      <c r="J59" s="230">
        <f>1-J55</f>
        <v>0.95</v>
      </c>
      <c r="K59" s="231">
        <f>1-K55</f>
        <v>0.95</v>
      </c>
      <c r="L59" s="96"/>
    </row>
    <row r="60" spans="1:16" ht="19" thickTop="1">
      <c r="F60" s="25"/>
      <c r="G60" s="218" t="s">
        <v>110</v>
      </c>
      <c r="H60" s="232">
        <f>H52</f>
        <v>41312.100834876022</v>
      </c>
      <c r="I60" s="233">
        <f>I52</f>
        <v>41312.100834876022</v>
      </c>
      <c r="J60" s="233">
        <f>J52</f>
        <v>193.86919247935748</v>
      </c>
      <c r="K60" s="234">
        <f>K52</f>
        <v>193.86919247935748</v>
      </c>
      <c r="L60" s="96"/>
    </row>
    <row r="61" spans="1:16" ht="19" thickBot="1">
      <c r="F61" s="25"/>
      <c r="G61" s="235" t="s">
        <v>111</v>
      </c>
      <c r="H61" s="236">
        <f>H57*H53/COUNTA(H42:H51)^0.5</f>
        <v>442.55257099006582</v>
      </c>
      <c r="I61" s="237">
        <f>I57*I53/COUNTA(I42:I51)^0.5</f>
        <v>442.55257099006582</v>
      </c>
      <c r="J61" s="237">
        <f>J57*J53/COUNTA(J42:J51)^0.5</f>
        <v>6.4497934558631984</v>
      </c>
      <c r="K61" s="238">
        <f>K57*K53/COUNTA(K42:K51)^0.5</f>
        <v>6.4497934558631984</v>
      </c>
      <c r="L61" s="96"/>
    </row>
    <row r="62" spans="1:16" ht="19" thickTop="1">
      <c r="F62" s="25"/>
      <c r="G62" s="218" t="s">
        <v>112</v>
      </c>
      <c r="H62" s="232">
        <f>H60+H61</f>
        <v>41754.653405866091</v>
      </c>
      <c r="I62" s="233">
        <f>I60+I61</f>
        <v>41754.653405866091</v>
      </c>
      <c r="J62" s="239">
        <f>J60+J61</f>
        <v>200.31898593522067</v>
      </c>
      <c r="K62" s="240">
        <f>K60+K61</f>
        <v>200.31898593522067</v>
      </c>
      <c r="L62" s="96"/>
    </row>
    <row r="63" spans="1:16">
      <c r="F63" s="25"/>
      <c r="G63" s="241" t="s">
        <v>113</v>
      </c>
      <c r="H63" s="236">
        <f>H60-H61</f>
        <v>40869.548263885954</v>
      </c>
      <c r="I63" s="237">
        <f>I60-I61</f>
        <v>40869.548263885954</v>
      </c>
      <c r="J63" s="242">
        <f>J60-J61</f>
        <v>187.41939902349429</v>
      </c>
      <c r="K63" s="242">
        <f>K60-K61</f>
        <v>187.41939902349429</v>
      </c>
      <c r="L63" s="96"/>
    </row>
    <row r="64" spans="1:16" ht="19" thickBot="1">
      <c r="F64" s="25"/>
      <c r="G64" s="241"/>
      <c r="H64" s="103"/>
      <c r="I64" s="219"/>
      <c r="J64" s="198"/>
      <c r="K64" s="198"/>
      <c r="L64" s="96"/>
    </row>
    <row r="65" spans="7:12" ht="19" thickTop="1">
      <c r="G65" s="96"/>
      <c r="H65" s="243" t="s">
        <v>114</v>
      </c>
      <c r="I65" s="244">
        <f>I60+B15+B16</f>
        <v>41314.100834876022</v>
      </c>
      <c r="J65" s="96"/>
      <c r="K65" s="96"/>
      <c r="L65" s="96"/>
    </row>
    <row r="66" spans="7:12" ht="19" thickBot="1">
      <c r="G66" s="96"/>
      <c r="H66" s="245"/>
      <c r="I66" s="246">
        <f>I61</f>
        <v>442.55257099006582</v>
      </c>
      <c r="J66" s="96"/>
      <c r="K66" s="96"/>
      <c r="L66" s="96"/>
    </row>
    <row r="67" spans="7:12" ht="19" thickTop="1"/>
  </sheetData>
  <mergeCells count="5">
    <mergeCell ref="E19:F19"/>
    <mergeCell ref="F41:G41"/>
    <mergeCell ref="M14:O19"/>
    <mergeCell ref="M8:O12"/>
    <mergeCell ref="M21:O23"/>
  </mergeCells>
  <phoneticPr fontId="4"/>
  <printOptions headings="1" gridLinesSet="0"/>
  <pageMargins left="0.25" right="0.38" top="0.34" bottom="0.77" header="0.35433070866141736" footer="0.6"/>
  <pageSetup paperSize="9" scale="66" orientation="portrait" horizontalDpi="4294967292" verticalDpi="4294967292"/>
  <rowBreaks count="1" manualBreakCount="1">
    <brk id="30" max="10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K60"/>
  <sheetViews>
    <sheetView topLeftCell="P2" workbookViewId="0">
      <selection activeCell="T14" sqref="T14"/>
    </sheetView>
  </sheetViews>
  <sheetFormatPr baseColWidth="12" defaultColWidth="14.6640625" defaultRowHeight="15" x14ac:dyDescent="0"/>
  <cols>
    <col min="1" max="1" width="2.5" style="247" customWidth="1"/>
    <col min="2" max="2" width="19.83203125" style="247" customWidth="1"/>
    <col min="3" max="3" width="10.83203125" style="247" customWidth="1"/>
    <col min="4" max="4" width="12.33203125" style="247" customWidth="1"/>
    <col min="5" max="5" width="17.33203125" style="247" customWidth="1"/>
    <col min="6" max="6" width="10" style="247" customWidth="1"/>
    <col min="7" max="7" width="9.33203125" style="247" customWidth="1"/>
    <col min="8" max="9" width="10.5" style="247" customWidth="1"/>
    <col min="10" max="10" width="14.5" style="247" customWidth="1"/>
    <col min="11" max="11" width="14" style="247" bestFit="1" customWidth="1"/>
    <col min="12" max="18" width="10.5" style="247" customWidth="1"/>
    <col min="19" max="19" width="15.33203125" style="247" customWidth="1"/>
    <col min="20" max="20" width="25.1640625" style="247" customWidth="1"/>
    <col min="21" max="21" width="10.33203125" style="247" customWidth="1"/>
    <col min="22" max="22" width="22.5" style="247" customWidth="1"/>
    <col min="23" max="39" width="6.5" style="247" customWidth="1"/>
    <col min="40" max="16384" width="14.6640625" style="247"/>
  </cols>
  <sheetData>
    <row r="1" spans="1:34" ht="19" thickBot="1">
      <c r="B1" s="248" t="s">
        <v>354</v>
      </c>
      <c r="H1" s="249" t="s">
        <v>115</v>
      </c>
      <c r="I1" s="250"/>
      <c r="J1" s="251"/>
      <c r="K1" s="252"/>
    </row>
    <row r="2" spans="1:34" ht="18">
      <c r="C2" s="248" t="s">
        <v>347</v>
      </c>
      <c r="H2" s="253" t="s">
        <v>116</v>
      </c>
      <c r="I2" s="254" t="s">
        <v>117</v>
      </c>
      <c r="J2" s="254" t="s">
        <v>118</v>
      </c>
      <c r="K2" s="255" t="s">
        <v>119</v>
      </c>
      <c r="P2" s="256"/>
      <c r="Q2" s="256"/>
      <c r="R2" s="256"/>
    </row>
    <row r="3" spans="1:34" ht="19">
      <c r="A3" s="1"/>
      <c r="C3" s="248" t="s">
        <v>348</v>
      </c>
      <c r="H3" s="257" t="s">
        <v>120</v>
      </c>
      <c r="I3" s="258">
        <v>8.0854856648192772</v>
      </c>
      <c r="J3" s="259">
        <v>11.357126643062653</v>
      </c>
      <c r="K3" s="260">
        <v>52314.000000060681</v>
      </c>
      <c r="P3" s="256"/>
      <c r="Q3" s="256"/>
      <c r="R3" s="256"/>
    </row>
    <row r="4" spans="1:34" ht="18">
      <c r="A4" s="1"/>
      <c r="B4" s="261"/>
      <c r="H4" s="262" t="s">
        <v>121</v>
      </c>
      <c r="I4" s="263">
        <v>1.6501753023532569E-2</v>
      </c>
      <c r="J4" s="264">
        <v>4.1441215555106284E-2</v>
      </c>
      <c r="K4" s="265">
        <v>4789.965214360569</v>
      </c>
      <c r="P4" s="256"/>
      <c r="Q4" s="256"/>
      <c r="R4" s="256"/>
    </row>
    <row r="5" spans="1:34" ht="19" thickBot="1">
      <c r="H5" s="266" t="s">
        <v>122</v>
      </c>
      <c r="I5" s="267">
        <v>0.99938481901049714</v>
      </c>
      <c r="J5" s="268">
        <v>2.6469598437344748E-2</v>
      </c>
      <c r="K5" s="269"/>
    </row>
    <row r="6" spans="1:34" ht="16" thickBot="1"/>
    <row r="7" spans="1:34" ht="18" thickBot="1">
      <c r="B7" s="270" t="s">
        <v>123</v>
      </c>
      <c r="C7" s="271"/>
      <c r="D7" s="272"/>
      <c r="E7" s="273" t="s">
        <v>124</v>
      </c>
      <c r="F7" s="274" t="s">
        <v>125</v>
      </c>
      <c r="G7" s="275" t="s">
        <v>126</v>
      </c>
      <c r="H7" s="276" t="s">
        <v>127</v>
      </c>
      <c r="I7" s="275"/>
      <c r="J7" s="277" t="s">
        <v>128</v>
      </c>
      <c r="K7" s="272"/>
    </row>
    <row r="8" spans="1:34" ht="18">
      <c r="B8" s="278" t="s">
        <v>129</v>
      </c>
      <c r="C8" s="279"/>
      <c r="D8" s="280"/>
      <c r="E8" s="281" t="s">
        <v>130</v>
      </c>
      <c r="F8" s="282" t="s">
        <v>131</v>
      </c>
      <c r="G8" s="283" t="s">
        <v>132</v>
      </c>
      <c r="H8" s="281" t="s">
        <v>133</v>
      </c>
      <c r="I8" s="282">
        <v>600</v>
      </c>
      <c r="J8" s="281" t="s">
        <v>134</v>
      </c>
      <c r="K8" s="284">
        <v>8.0854856648192772</v>
      </c>
      <c r="M8" s="285">
        <v>8.0854846708361041</v>
      </c>
    </row>
    <row r="9" spans="1:34">
      <c r="B9" s="278" t="s">
        <v>135</v>
      </c>
      <c r="C9" s="279"/>
      <c r="D9" s="280"/>
      <c r="E9" s="286" t="s">
        <v>136</v>
      </c>
      <c r="F9" s="287">
        <v>33.979999999999997</v>
      </c>
      <c r="G9" s="288">
        <v>25.29</v>
      </c>
      <c r="H9" s="286" t="s">
        <v>137</v>
      </c>
      <c r="I9" s="289">
        <v>1</v>
      </c>
      <c r="J9" s="286" t="s">
        <v>138</v>
      </c>
      <c r="K9" s="290">
        <v>11.357126643062653</v>
      </c>
      <c r="M9" s="291">
        <v>11.357121724131476</v>
      </c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</row>
    <row r="10" spans="1:34" ht="16" thickBot="1">
      <c r="B10" s="293" t="s">
        <v>139</v>
      </c>
      <c r="C10" s="279"/>
      <c r="D10" s="280"/>
      <c r="E10" s="286" t="s">
        <v>140</v>
      </c>
      <c r="F10" s="287">
        <v>823.28</v>
      </c>
      <c r="G10" s="288">
        <v>301.51</v>
      </c>
      <c r="H10" s="286" t="s">
        <v>141</v>
      </c>
      <c r="I10" s="287">
        <v>30</v>
      </c>
      <c r="J10" s="294" t="s">
        <v>142</v>
      </c>
      <c r="K10" s="295">
        <v>52314.000000060681</v>
      </c>
      <c r="M10" s="296">
        <v>52314.566129362167</v>
      </c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2"/>
      <c r="AH10" s="292"/>
    </row>
    <row r="11" spans="1:34" ht="16" thickBot="1">
      <c r="B11" s="293" t="s">
        <v>143</v>
      </c>
      <c r="C11" s="279"/>
      <c r="D11" s="280"/>
      <c r="E11" s="286" t="s">
        <v>144</v>
      </c>
      <c r="F11" s="287" t="s">
        <v>145</v>
      </c>
      <c r="G11" s="288" t="s">
        <v>146</v>
      </c>
      <c r="H11" s="297" t="s">
        <v>147</v>
      </c>
      <c r="I11" s="298" t="s">
        <v>148</v>
      </c>
      <c r="J11" s="286" t="s">
        <v>149</v>
      </c>
      <c r="K11" s="299">
        <f>S35</f>
        <v>9108.3153386456852</v>
      </c>
      <c r="M11" s="300">
        <v>9108.3153475949748</v>
      </c>
      <c r="S11" s="292"/>
      <c r="T11" s="628" t="s">
        <v>339</v>
      </c>
      <c r="U11" s="632"/>
      <c r="V11" s="633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</row>
    <row r="12" spans="1:34" ht="17" thickBot="1">
      <c r="B12" s="301" t="s">
        <v>150</v>
      </c>
      <c r="C12" s="279"/>
      <c r="D12" s="280"/>
      <c r="E12" s="286" t="s">
        <v>151</v>
      </c>
      <c r="F12" s="287">
        <v>5000</v>
      </c>
      <c r="G12" s="288">
        <v>2000</v>
      </c>
      <c r="H12" s="292"/>
      <c r="I12" s="302"/>
      <c r="J12" s="303" t="s">
        <v>152</v>
      </c>
      <c r="K12" s="304">
        <f>K9-C18</f>
        <v>3.3400766430626536</v>
      </c>
      <c r="S12" s="292"/>
      <c r="T12" s="629" t="s">
        <v>340</v>
      </c>
      <c r="U12" s="634"/>
      <c r="V12" s="635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</row>
    <row r="13" spans="1:34" ht="16" thickBot="1">
      <c r="B13" s="308" t="s">
        <v>153</v>
      </c>
      <c r="C13" s="309"/>
      <c r="D13" s="310"/>
      <c r="E13" s="286" t="s">
        <v>154</v>
      </c>
      <c r="F13" s="311">
        <f>I9</f>
        <v>1</v>
      </c>
      <c r="G13" s="312">
        <v>1</v>
      </c>
      <c r="H13" s="292"/>
      <c r="I13" s="313"/>
      <c r="S13" s="292"/>
      <c r="T13" s="630" t="s">
        <v>338</v>
      </c>
      <c r="U13" s="636"/>
      <c r="V13" s="637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</row>
    <row r="14" spans="1:34" ht="16" thickBot="1">
      <c r="B14" s="292"/>
      <c r="C14" s="292"/>
      <c r="D14" s="292"/>
      <c r="E14" s="297" t="s">
        <v>155</v>
      </c>
      <c r="F14" s="315">
        <f>F9/F10/1000/F12*1000000*I9</f>
        <v>8.2547857351083481E-3</v>
      </c>
      <c r="G14" s="316">
        <f>G9/G10/1000/G12*1000000*G13</f>
        <v>4.1938907498922089E-2</v>
      </c>
      <c r="H14" s="292"/>
      <c r="I14" s="302"/>
      <c r="S14" s="292"/>
      <c r="T14" s="630" t="s">
        <v>358</v>
      </c>
      <c r="U14" s="636"/>
      <c r="V14" s="637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</row>
    <row r="15" spans="1:34" ht="16" thickBot="1">
      <c r="A15" s="317"/>
      <c r="C15" s="318"/>
      <c r="D15" s="292"/>
      <c r="E15" s="292"/>
      <c r="F15" s="292"/>
      <c r="G15" s="319"/>
      <c r="H15" s="292"/>
      <c r="I15" s="292"/>
      <c r="J15" s="256"/>
      <c r="K15" s="256"/>
      <c r="S15" s="292"/>
      <c r="T15" s="630" t="s">
        <v>357</v>
      </c>
      <c r="U15" s="638"/>
      <c r="V15" s="639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</row>
    <row r="16" spans="1:34" ht="16" thickBot="1">
      <c r="B16" s="320" t="s">
        <v>156</v>
      </c>
      <c r="C16" s="321">
        <v>0</v>
      </c>
      <c r="D16" s="321">
        <v>1</v>
      </c>
      <c r="E16" s="321">
        <v>2</v>
      </c>
      <c r="F16" s="321">
        <v>3</v>
      </c>
      <c r="G16" s="321">
        <v>4</v>
      </c>
      <c r="H16" s="321">
        <v>5</v>
      </c>
      <c r="I16" s="321">
        <v>6</v>
      </c>
      <c r="J16" s="321">
        <v>7</v>
      </c>
      <c r="K16" s="321">
        <v>8</v>
      </c>
      <c r="L16" s="321">
        <v>9</v>
      </c>
      <c r="M16" s="321">
        <v>10</v>
      </c>
      <c r="N16" s="321">
        <v>11</v>
      </c>
      <c r="O16" s="321">
        <v>12</v>
      </c>
      <c r="P16" s="321">
        <v>13</v>
      </c>
      <c r="Q16" s="321">
        <v>14</v>
      </c>
      <c r="R16" s="322">
        <v>15</v>
      </c>
      <c r="S16" s="323"/>
      <c r="T16" s="631" t="s">
        <v>342</v>
      </c>
      <c r="U16" s="640"/>
      <c r="V16" s="641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</row>
    <row r="17" spans="2:34" ht="18" thickBot="1">
      <c r="B17" s="324" t="s">
        <v>157</v>
      </c>
      <c r="C17" s="325">
        <v>0</v>
      </c>
      <c r="D17" s="325">
        <v>30</v>
      </c>
      <c r="E17" s="325">
        <v>60</v>
      </c>
      <c r="F17" s="325">
        <v>90</v>
      </c>
      <c r="G17" s="325">
        <v>120</v>
      </c>
      <c r="H17" s="325">
        <v>150</v>
      </c>
      <c r="I17" s="325">
        <v>180</v>
      </c>
      <c r="J17" s="325">
        <v>210</v>
      </c>
      <c r="K17" s="325">
        <v>240</v>
      </c>
      <c r="L17" s="325">
        <v>270</v>
      </c>
      <c r="M17" s="325">
        <v>300</v>
      </c>
      <c r="N17" s="325">
        <v>360</v>
      </c>
      <c r="O17" s="325">
        <v>420</v>
      </c>
      <c r="P17" s="325">
        <v>480</v>
      </c>
      <c r="Q17" s="325">
        <v>540</v>
      </c>
      <c r="R17" s="326">
        <v>600</v>
      </c>
      <c r="S17" s="323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</row>
    <row r="18" spans="2:34" ht="16" thickBot="1">
      <c r="B18" s="327" t="s">
        <v>158</v>
      </c>
      <c r="C18" s="328">
        <v>8.0170499999999993</v>
      </c>
      <c r="D18" s="328">
        <v>8.2924699999999998</v>
      </c>
      <c r="E18" s="328">
        <v>8.5611700000000006</v>
      </c>
      <c r="F18" s="328">
        <v>8.82254</v>
      </c>
      <c r="G18" s="328">
        <v>9.0839200000000009</v>
      </c>
      <c r="H18" s="328">
        <v>9.3391800000000007</v>
      </c>
      <c r="I18" s="328">
        <v>9.5724599999999995</v>
      </c>
      <c r="J18" s="328">
        <v>9.7855899999999991</v>
      </c>
      <c r="K18" s="328">
        <v>9.9816199999999995</v>
      </c>
      <c r="L18" s="328">
        <v>10.156890000000001</v>
      </c>
      <c r="M18" s="328">
        <v>10.30284</v>
      </c>
      <c r="N18" s="328">
        <v>10.558109999999999</v>
      </c>
      <c r="O18" s="328">
        <v>10.74864</v>
      </c>
      <c r="P18" s="328">
        <v>10.888489999999999</v>
      </c>
      <c r="Q18" s="328">
        <v>10.99169</v>
      </c>
      <c r="R18" s="329">
        <v>11.0723</v>
      </c>
      <c r="S18" s="323"/>
      <c r="T18" s="305" t="s">
        <v>341</v>
      </c>
      <c r="U18" s="306"/>
      <c r="V18" s="307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</row>
    <row r="19" spans="2:34">
      <c r="B19" s="330" t="s">
        <v>159</v>
      </c>
      <c r="C19" s="331">
        <f t="shared" ref="C19:Q19" si="0">$I$8*$F$14/($I$8+C17)</f>
        <v>8.2547857351083481E-3</v>
      </c>
      <c r="D19" s="331">
        <f t="shared" si="0"/>
        <v>7.8617007001031882E-3</v>
      </c>
      <c r="E19" s="331">
        <f t="shared" si="0"/>
        <v>7.5043506682803155E-3</v>
      </c>
      <c r="F19" s="331">
        <f t="shared" si="0"/>
        <v>7.1780745522681284E-3</v>
      </c>
      <c r="G19" s="331">
        <f t="shared" si="0"/>
        <v>6.8789881125902895E-3</v>
      </c>
      <c r="H19" s="331">
        <f t="shared" si="0"/>
        <v>6.6038285880866783E-3</v>
      </c>
      <c r="I19" s="331">
        <f t="shared" si="0"/>
        <v>6.349835180852575E-3</v>
      </c>
      <c r="J19" s="331">
        <f t="shared" si="0"/>
        <v>6.1146561000802579E-3</v>
      </c>
      <c r="K19" s="331">
        <f t="shared" si="0"/>
        <v>5.8962755250773907E-3</v>
      </c>
      <c r="L19" s="331">
        <f t="shared" si="0"/>
        <v>5.6929556793850677E-3</v>
      </c>
      <c r="M19" s="331">
        <f t="shared" si="0"/>
        <v>5.5031904900722317E-3</v>
      </c>
      <c r="N19" s="331">
        <f t="shared" si="0"/>
        <v>5.1592410844427169E-3</v>
      </c>
      <c r="O19" s="331">
        <f t="shared" si="0"/>
        <v>4.8557563147696159E-3</v>
      </c>
      <c r="P19" s="331">
        <f t="shared" si="0"/>
        <v>4.585992075060193E-3</v>
      </c>
      <c r="Q19" s="331">
        <f t="shared" si="0"/>
        <v>4.3446240711096564E-3</v>
      </c>
      <c r="R19" s="332">
        <f>$I$8*$F$14/($I$8+R17)</f>
        <v>4.127392867554174E-3</v>
      </c>
      <c r="S19" s="323"/>
      <c r="T19" s="333"/>
      <c r="U19" s="334" t="s">
        <v>160</v>
      </c>
      <c r="V19" s="335" t="s">
        <v>161</v>
      </c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</row>
    <row r="20" spans="2:34">
      <c r="B20" s="336" t="s">
        <v>162</v>
      </c>
      <c r="C20" s="337">
        <f t="shared" ref="C20:R20" si="1">C17*$G$14/($I$8+C17)</f>
        <v>0</v>
      </c>
      <c r="D20" s="337">
        <f t="shared" si="1"/>
        <v>1.9970908332820046E-3</v>
      </c>
      <c r="E20" s="337">
        <f t="shared" si="1"/>
        <v>3.8126279544474628E-3</v>
      </c>
      <c r="F20" s="337">
        <f t="shared" si="1"/>
        <v>5.4702922824680983E-3</v>
      </c>
      <c r="G20" s="337">
        <f t="shared" si="1"/>
        <v>6.9898179164870154E-3</v>
      </c>
      <c r="H20" s="337">
        <f t="shared" si="1"/>
        <v>8.3877814997844174E-3</v>
      </c>
      <c r="I20" s="337">
        <f t="shared" si="1"/>
        <v>9.6782094228281736E-3</v>
      </c>
      <c r="J20" s="337">
        <f t="shared" si="1"/>
        <v>1.0873050092313133E-2</v>
      </c>
      <c r="K20" s="337">
        <f t="shared" si="1"/>
        <v>1.1982544999692027E-2</v>
      </c>
      <c r="L20" s="337">
        <f t="shared" si="1"/>
        <v>1.3015523016906855E-2</v>
      </c>
      <c r="M20" s="337">
        <f t="shared" si="1"/>
        <v>1.3979635832974031E-2</v>
      </c>
      <c r="N20" s="337">
        <f t="shared" si="1"/>
        <v>1.5727090312095782E-2</v>
      </c>
      <c r="O20" s="337">
        <f t="shared" si="1"/>
        <v>1.7268961911320858E-2</v>
      </c>
      <c r="P20" s="337">
        <f t="shared" si="1"/>
        <v>1.8639514443965374E-2</v>
      </c>
      <c r="Q20" s="337">
        <f t="shared" si="1"/>
        <v>1.9865798288963097E-2</v>
      </c>
      <c r="R20" s="338">
        <f t="shared" si="1"/>
        <v>2.0969453749461044E-2</v>
      </c>
      <c r="S20" s="323"/>
      <c r="T20" s="333"/>
      <c r="U20" s="334" t="s">
        <v>163</v>
      </c>
      <c r="V20" s="335" t="s">
        <v>164</v>
      </c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</row>
    <row r="21" spans="2:34">
      <c r="B21" s="336" t="s">
        <v>165</v>
      </c>
      <c r="C21" s="339">
        <f t="shared" ref="C21:R21" si="2">C20/C19</f>
        <v>0</v>
      </c>
      <c r="D21" s="339">
        <f t="shared" si="2"/>
        <v>0.25402783818211139</v>
      </c>
      <c r="E21" s="339">
        <f t="shared" si="2"/>
        <v>0.50805567636422277</v>
      </c>
      <c r="F21" s="339">
        <f t="shared" si="2"/>
        <v>0.76208351454633405</v>
      </c>
      <c r="G21" s="339">
        <f t="shared" si="2"/>
        <v>1.0161113527284455</v>
      </c>
      <c r="H21" s="339">
        <f t="shared" si="2"/>
        <v>1.2701391909105566</v>
      </c>
      <c r="I21" s="339">
        <f t="shared" si="2"/>
        <v>1.5241670290926681</v>
      </c>
      <c r="J21" s="339">
        <f t="shared" si="2"/>
        <v>1.7781948672747792</v>
      </c>
      <c r="K21" s="339">
        <f>K20/K19</f>
        <v>2.0322227054568911</v>
      </c>
      <c r="L21" s="339">
        <f>L20/L19</f>
        <v>2.2862505436390022</v>
      </c>
      <c r="M21" s="339">
        <f>M20/M19</f>
        <v>2.5402783818211137</v>
      </c>
      <c r="N21" s="339">
        <f>N20/N19</f>
        <v>3.0483340581853362</v>
      </c>
      <c r="O21" s="339">
        <f t="shared" si="2"/>
        <v>3.5563897345495588</v>
      </c>
      <c r="P21" s="339">
        <f t="shared" si="2"/>
        <v>4.0644454109137822</v>
      </c>
      <c r="Q21" s="339">
        <f t="shared" si="2"/>
        <v>4.5725010872780052</v>
      </c>
      <c r="R21" s="340">
        <f t="shared" si="2"/>
        <v>5.0805567636422264</v>
      </c>
      <c r="S21" s="323"/>
      <c r="T21" s="333"/>
      <c r="U21" s="334" t="s">
        <v>166</v>
      </c>
      <c r="V21" s="335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</row>
    <row r="22" spans="2:34" ht="17">
      <c r="B22" s="341" t="s">
        <v>167</v>
      </c>
      <c r="C22" s="342">
        <f t="shared" ref="C22:R22" si="3">$K$10</f>
        <v>52314.000000060681</v>
      </c>
      <c r="D22" s="342">
        <f t="shared" si="3"/>
        <v>52314.000000060681</v>
      </c>
      <c r="E22" s="342">
        <f t="shared" si="3"/>
        <v>52314.000000060681</v>
      </c>
      <c r="F22" s="342">
        <f t="shared" si="3"/>
        <v>52314.000000060681</v>
      </c>
      <c r="G22" s="342">
        <f t="shared" si="3"/>
        <v>52314.000000060681</v>
      </c>
      <c r="H22" s="342">
        <f t="shared" si="3"/>
        <v>52314.000000060681</v>
      </c>
      <c r="I22" s="342">
        <f t="shared" si="3"/>
        <v>52314.000000060681</v>
      </c>
      <c r="J22" s="342">
        <f t="shared" si="3"/>
        <v>52314.000000060681</v>
      </c>
      <c r="K22" s="342">
        <f t="shared" si="3"/>
        <v>52314.000000060681</v>
      </c>
      <c r="L22" s="342">
        <f t="shared" si="3"/>
        <v>52314.000000060681</v>
      </c>
      <c r="M22" s="342">
        <f t="shared" si="3"/>
        <v>52314.000000060681</v>
      </c>
      <c r="N22" s="342">
        <f t="shared" si="3"/>
        <v>52314.000000060681</v>
      </c>
      <c r="O22" s="342">
        <f t="shared" si="3"/>
        <v>52314.000000060681</v>
      </c>
      <c r="P22" s="342">
        <f t="shared" si="3"/>
        <v>52314.000000060681</v>
      </c>
      <c r="Q22" s="342">
        <f t="shared" si="3"/>
        <v>52314.000000060681</v>
      </c>
      <c r="R22" s="343">
        <f t="shared" si="3"/>
        <v>52314.000000060681</v>
      </c>
      <c r="S22" s="323"/>
      <c r="T22" s="344" t="s">
        <v>168</v>
      </c>
      <c r="U22" s="345" t="s">
        <v>169</v>
      </c>
      <c r="V22" s="346" t="s">
        <v>170</v>
      </c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</row>
    <row r="23" spans="2:34" ht="17">
      <c r="B23" s="347" t="s">
        <v>171</v>
      </c>
      <c r="C23" s="342">
        <f t="shared" ref="C23:R23" si="4">2*$K$10*C$19-$K$10*C$20</f>
        <v>863.68172189391805</v>
      </c>
      <c r="D23" s="342">
        <f t="shared" si="4"/>
        <v>718.07821099891453</v>
      </c>
      <c r="E23" s="342">
        <f t="shared" si="4"/>
        <v>585.71138291254772</v>
      </c>
      <c r="F23" s="342">
        <f t="shared" si="4"/>
        <v>464.85471379021288</v>
      </c>
      <c r="G23" s="342">
        <f t="shared" si="4"/>
        <v>354.06943376140572</v>
      </c>
      <c r="H23" s="342">
        <f t="shared" si="4"/>
        <v>252.14697613490341</v>
      </c>
      <c r="I23" s="342">
        <f t="shared" si="4"/>
        <v>158.06470755659348</v>
      </c>
      <c r="J23" s="342">
        <f t="shared" si="4"/>
        <v>70.951495910010181</v>
      </c>
      <c r="K23" s="342">
        <f t="shared" si="4"/>
        <v>-9.9393434761029766</v>
      </c>
      <c r="L23" s="342">
        <f t="shared" si="4"/>
        <v>-85.251504283863255</v>
      </c>
      <c r="M23" s="342">
        <f t="shared" si="4"/>
        <v>-155.5428543711065</v>
      </c>
      <c r="N23" s="342">
        <f t="shared" si="4"/>
        <v>-282.94592640423446</v>
      </c>
      <c r="O23" s="342">
        <f t="shared" si="4"/>
        <v>-395.3604017275826</v>
      </c>
      <c r="P23" s="342">
        <f t="shared" si="4"/>
        <v>-495.28437979278118</v>
      </c>
      <c r="Q23" s="342">
        <f t="shared" si="4"/>
        <v>-584.69004437743251</v>
      </c>
      <c r="R23" s="343">
        <f t="shared" si="4"/>
        <v>-665.15514250361844</v>
      </c>
      <c r="S23" s="323"/>
      <c r="T23" s="333" t="s">
        <v>172</v>
      </c>
      <c r="U23" s="348" t="s">
        <v>173</v>
      </c>
      <c r="V23" s="349" t="s">
        <v>174</v>
      </c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</row>
    <row r="24" spans="2:34" ht="17">
      <c r="B24" s="347">
        <v>1</v>
      </c>
      <c r="C24" s="342">
        <v>1</v>
      </c>
      <c r="D24" s="342">
        <v>1</v>
      </c>
      <c r="E24" s="342">
        <v>1</v>
      </c>
      <c r="F24" s="342">
        <v>1</v>
      </c>
      <c r="G24" s="342">
        <v>1</v>
      </c>
      <c r="H24" s="342">
        <v>1</v>
      </c>
      <c r="I24" s="342">
        <v>1</v>
      </c>
      <c r="J24" s="342">
        <v>1</v>
      </c>
      <c r="K24" s="342">
        <v>1</v>
      </c>
      <c r="L24" s="342">
        <v>1</v>
      </c>
      <c r="M24" s="342">
        <v>1</v>
      </c>
      <c r="N24" s="342">
        <v>1</v>
      </c>
      <c r="O24" s="342">
        <v>1</v>
      </c>
      <c r="P24" s="342">
        <v>1</v>
      </c>
      <c r="Q24" s="342">
        <v>1</v>
      </c>
      <c r="R24" s="343">
        <v>1</v>
      </c>
      <c r="S24" s="323"/>
      <c r="T24" s="257" t="s">
        <v>175</v>
      </c>
      <c r="U24" s="348" t="s">
        <v>176</v>
      </c>
      <c r="V24" s="349">
        <v>1</v>
      </c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</row>
    <row r="25" spans="2:34" ht="17">
      <c r="B25" s="350" t="s">
        <v>177</v>
      </c>
      <c r="C25" s="351">
        <f t="shared" ref="C25:R25" si="5">-C20</f>
        <v>0</v>
      </c>
      <c r="D25" s="351">
        <f t="shared" si="5"/>
        <v>-1.9970908332820046E-3</v>
      </c>
      <c r="E25" s="351">
        <f t="shared" si="5"/>
        <v>-3.8126279544474628E-3</v>
      </c>
      <c r="F25" s="351">
        <f t="shared" si="5"/>
        <v>-5.4702922824680983E-3</v>
      </c>
      <c r="G25" s="351">
        <f t="shared" si="5"/>
        <v>-6.9898179164870154E-3</v>
      </c>
      <c r="H25" s="351">
        <f t="shared" si="5"/>
        <v>-8.3877814997844174E-3</v>
      </c>
      <c r="I25" s="351">
        <f t="shared" si="5"/>
        <v>-9.6782094228281736E-3</v>
      </c>
      <c r="J25" s="351">
        <f t="shared" si="5"/>
        <v>-1.0873050092313133E-2</v>
      </c>
      <c r="K25" s="351">
        <f>-K20</f>
        <v>-1.1982544999692027E-2</v>
      </c>
      <c r="L25" s="351">
        <f>-L20</f>
        <v>-1.3015523016906855E-2</v>
      </c>
      <c r="M25" s="351">
        <f>-M20</f>
        <v>-1.3979635832974031E-2</v>
      </c>
      <c r="N25" s="351">
        <f>-N20</f>
        <v>-1.5727090312095782E-2</v>
      </c>
      <c r="O25" s="351">
        <f t="shared" si="5"/>
        <v>-1.7268961911320858E-2</v>
      </c>
      <c r="P25" s="351">
        <f t="shared" si="5"/>
        <v>-1.8639514443965374E-2</v>
      </c>
      <c r="Q25" s="351">
        <f t="shared" si="5"/>
        <v>-1.9865798288963097E-2</v>
      </c>
      <c r="R25" s="352">
        <f t="shared" si="5"/>
        <v>-2.0969453749461044E-2</v>
      </c>
      <c r="S25" s="323"/>
      <c r="T25" s="353"/>
      <c r="U25" s="354" t="s">
        <v>178</v>
      </c>
      <c r="V25" s="355" t="s">
        <v>179</v>
      </c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</row>
    <row r="26" spans="2:34">
      <c r="B26" s="356" t="s">
        <v>180</v>
      </c>
      <c r="C26" s="357">
        <f t="shared" ref="C26:R28" si="6">C55</f>
        <v>-4.3368086899420177E-18</v>
      </c>
      <c r="D26" s="358">
        <f t="shared" si="6"/>
        <v>1.0849748841179523E-3</v>
      </c>
      <c r="E26" s="358">
        <f t="shared" si="6"/>
        <v>1.7467448780845904E-3</v>
      </c>
      <c r="F26" s="358">
        <f t="shared" si="6"/>
        <v>2.3187513331849145E-3</v>
      </c>
      <c r="G26" s="358">
        <f t="shared" si="6"/>
        <v>2.8622862981202194E-3</v>
      </c>
      <c r="H26" s="358">
        <f t="shared" si="6"/>
        <v>3.4037100335678741E-3</v>
      </c>
      <c r="I26" s="358">
        <f t="shared" si="6"/>
        <v>3.9580574395477281E-3</v>
      </c>
      <c r="J26" s="358">
        <f t="shared" si="6"/>
        <v>4.5349245326096049E-3</v>
      </c>
      <c r="K26" s="358">
        <f t="shared" si="6"/>
        <v>5.1402116458437036E-3</v>
      </c>
      <c r="L26" s="358">
        <f t="shared" si="6"/>
        <v>5.7765321571312195E-3</v>
      </c>
      <c r="M26" s="358">
        <f t="shared" si="6"/>
        <v>6.4432700390338231E-3</v>
      </c>
      <c r="N26" s="358">
        <f t="shared" si="6"/>
        <v>7.85107992532234E-3</v>
      </c>
      <c r="O26" s="358">
        <f t="shared" si="6"/>
        <v>9.3116901641934653E-3</v>
      </c>
      <c r="P26" s="358">
        <f t="shared" si="6"/>
        <v>1.0766021534531097E-2</v>
      </c>
      <c r="Q26" s="358">
        <f t="shared" si="6"/>
        <v>1.2169838303014021E-2</v>
      </c>
      <c r="R26" s="359">
        <f t="shared" si="6"/>
        <v>1.3498446961857678E-2</v>
      </c>
      <c r="S26" s="323"/>
      <c r="T26" s="333" t="s">
        <v>181</v>
      </c>
      <c r="U26" s="314" t="s">
        <v>182</v>
      </c>
      <c r="V26" s="349" t="s">
        <v>183</v>
      </c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</row>
    <row r="27" spans="2:34">
      <c r="B27" s="356" t="s">
        <v>184</v>
      </c>
      <c r="C27" s="358">
        <f t="shared" si="6"/>
        <v>-1.5256653025988869E-2</v>
      </c>
      <c r="D27" s="358">
        <f t="shared" si="6"/>
        <v>-1.1839414200094048E-2</v>
      </c>
      <c r="E27" s="358">
        <f t="shared" si="6"/>
        <v>-6.866368180762689E-3</v>
      </c>
      <c r="F27" s="358" t="str">
        <f t="shared" si="6"/>
        <v/>
      </c>
      <c r="G27" s="358" t="str">
        <f t="shared" si="6"/>
        <v/>
      </c>
      <c r="H27" s="358" t="str">
        <f t="shared" si="6"/>
        <v/>
      </c>
      <c r="I27" s="358" t="str">
        <f t="shared" si="6"/>
        <v/>
      </c>
      <c r="J27" s="358" t="str">
        <f t="shared" si="6"/>
        <v/>
      </c>
      <c r="K27" s="358" t="str">
        <f t="shared" si="6"/>
        <v/>
      </c>
      <c r="L27" s="358" t="str">
        <f t="shared" si="6"/>
        <v/>
      </c>
      <c r="M27" s="358" t="str">
        <f t="shared" si="6"/>
        <v/>
      </c>
      <c r="N27" s="358" t="str">
        <f t="shared" si="6"/>
        <v/>
      </c>
      <c r="O27" s="358" t="str">
        <f t="shared" si="6"/>
        <v/>
      </c>
      <c r="P27" s="358" t="str">
        <f t="shared" si="6"/>
        <v/>
      </c>
      <c r="Q27" s="358" t="str">
        <f t="shared" si="6"/>
        <v/>
      </c>
      <c r="R27" s="359" t="str">
        <f t="shared" si="6"/>
        <v/>
      </c>
      <c r="S27" s="323"/>
      <c r="T27" s="333" t="s">
        <v>185</v>
      </c>
      <c r="U27" s="314" t="s">
        <v>186</v>
      </c>
      <c r="V27" s="349" t="s">
        <v>187</v>
      </c>
      <c r="W27" s="292"/>
      <c r="X27" s="292"/>
      <c r="Y27" s="292"/>
      <c r="Z27" s="292"/>
    </row>
    <row r="28" spans="2:34">
      <c r="B28" s="356" t="s">
        <v>188</v>
      </c>
      <c r="C28" s="360">
        <f t="shared" si="6"/>
        <v>-1.2529184442278242E-3</v>
      </c>
      <c r="D28" s="360">
        <f t="shared" si="6"/>
        <v>-2.9718712509482813E-3</v>
      </c>
      <c r="E28" s="360">
        <f t="shared" si="6"/>
        <v>-6.076450079435072E-3</v>
      </c>
      <c r="F28" s="360" t="str">
        <f t="shared" si="6"/>
        <v/>
      </c>
      <c r="G28" s="360" t="str">
        <f t="shared" si="6"/>
        <v/>
      </c>
      <c r="H28" s="360" t="str">
        <f t="shared" si="6"/>
        <v/>
      </c>
      <c r="I28" s="360" t="str">
        <f t="shared" si="6"/>
        <v/>
      </c>
      <c r="J28" s="360" t="str">
        <f t="shared" si="6"/>
        <v/>
      </c>
      <c r="K28" s="360" t="str">
        <f t="shared" si="6"/>
        <v/>
      </c>
      <c r="L28" s="360" t="str">
        <f t="shared" si="6"/>
        <v/>
      </c>
      <c r="M28" s="360" t="str">
        <f t="shared" si="6"/>
        <v/>
      </c>
      <c r="N28" s="360" t="str">
        <f t="shared" si="6"/>
        <v/>
      </c>
      <c r="O28" s="360" t="str">
        <f t="shared" si="6"/>
        <v/>
      </c>
      <c r="P28" s="360" t="str">
        <f t="shared" si="6"/>
        <v/>
      </c>
      <c r="Q28" s="360" t="str">
        <f t="shared" si="6"/>
        <v/>
      </c>
      <c r="R28" s="361" t="str">
        <f t="shared" si="6"/>
        <v/>
      </c>
      <c r="S28" s="323"/>
      <c r="T28" s="333" t="s">
        <v>189</v>
      </c>
      <c r="U28" s="314" t="s">
        <v>190</v>
      </c>
      <c r="V28" s="349" t="s">
        <v>191</v>
      </c>
      <c r="W28" s="292"/>
      <c r="X28" s="292"/>
      <c r="Y28" s="292"/>
      <c r="Z28" s="292"/>
    </row>
    <row r="29" spans="2:34">
      <c r="B29" s="362" t="s">
        <v>192</v>
      </c>
      <c r="C29" s="342">
        <f t="shared" ref="C29:R29" si="7">$K$10*C30*C26^2</f>
        <v>8.1220238799581328E-33</v>
      </c>
      <c r="D29" s="342">
        <f t="shared" si="7"/>
        <v>4.5605797458202663E-4</v>
      </c>
      <c r="E29" s="342">
        <f>$K$10*E30*E26^2</f>
        <v>1.0329415381814364E-3</v>
      </c>
      <c r="F29" s="342">
        <f t="shared" si="7"/>
        <v>1.5757704746416539E-3</v>
      </c>
      <c r="G29" s="342">
        <f t="shared" si="7"/>
        <v>2.0637658091834914E-3</v>
      </c>
      <c r="H29" s="342">
        <f t="shared" si="7"/>
        <v>2.4920357331083037E-3</v>
      </c>
      <c r="I29" s="342">
        <f t="shared" si="7"/>
        <v>2.8600759916402574E-3</v>
      </c>
      <c r="J29" s="342">
        <f t="shared" si="7"/>
        <v>3.1690627798517915E-3</v>
      </c>
      <c r="K29" s="342">
        <f t="shared" si="7"/>
        <v>3.4211666769241853E-3</v>
      </c>
      <c r="L29" s="342">
        <f t="shared" si="7"/>
        <v>3.6194954298878427E-3</v>
      </c>
      <c r="M29" s="342">
        <f t="shared" si="7"/>
        <v>3.7681828969701229E-3</v>
      </c>
      <c r="N29" s="342">
        <f t="shared" si="7"/>
        <v>3.9380051933867455E-3</v>
      </c>
      <c r="O29" s="342">
        <f t="shared" si="7"/>
        <v>3.9786358735719599E-3</v>
      </c>
      <c r="P29" s="342">
        <f t="shared" si="7"/>
        <v>3.9367464547171559E-3</v>
      </c>
      <c r="Q29" s="342">
        <f t="shared" si="7"/>
        <v>3.8479799929745616E-3</v>
      </c>
      <c r="R29" s="343">
        <f t="shared" si="7"/>
        <v>3.735503393801712E-3</v>
      </c>
      <c r="S29" s="323"/>
      <c r="T29" s="344"/>
      <c r="U29" s="363" t="s">
        <v>193</v>
      </c>
      <c r="V29" s="346" t="s">
        <v>194</v>
      </c>
      <c r="W29" s="292"/>
      <c r="X29" s="292"/>
      <c r="Y29" s="292"/>
      <c r="Z29" s="292"/>
    </row>
    <row r="30" spans="2:34">
      <c r="B30" s="364" t="s">
        <v>195</v>
      </c>
      <c r="C30" s="365">
        <f t="shared" ref="C30:R30" si="8">C19/(1+$K$10*C26^2)</f>
        <v>8.2547857351083481E-3</v>
      </c>
      <c r="D30" s="365">
        <f t="shared" si="8"/>
        <v>7.4056427255211619E-3</v>
      </c>
      <c r="E30" s="365">
        <f>E19/(1+$K$10*E26^2)</f>
        <v>6.4714091300988787E-3</v>
      </c>
      <c r="F30" s="365">
        <f t="shared" si="8"/>
        <v>5.6023040776264745E-3</v>
      </c>
      <c r="G30" s="365">
        <f t="shared" si="8"/>
        <v>4.8152223034067972E-3</v>
      </c>
      <c r="H30" s="365">
        <f t="shared" si="8"/>
        <v>4.1117928549783741E-3</v>
      </c>
      <c r="I30" s="365">
        <f t="shared" si="8"/>
        <v>3.489759189212318E-3</v>
      </c>
      <c r="J30" s="365">
        <f t="shared" si="8"/>
        <v>2.9455933202284673E-3</v>
      </c>
      <c r="K30" s="365">
        <f t="shared" si="8"/>
        <v>2.4751088481532054E-3</v>
      </c>
      <c r="L30" s="365">
        <f t="shared" si="8"/>
        <v>2.073460249497225E-3</v>
      </c>
      <c r="M30" s="365">
        <f t="shared" si="8"/>
        <v>1.7350075931021089E-3</v>
      </c>
      <c r="N30" s="365">
        <f t="shared" si="8"/>
        <v>1.2212358910559705E-3</v>
      </c>
      <c r="O30" s="365">
        <f t="shared" si="8"/>
        <v>8.7712044119765621E-4</v>
      </c>
      <c r="P30" s="365">
        <f t="shared" si="8"/>
        <v>6.4924562034303704E-4</v>
      </c>
      <c r="Q30" s="365">
        <f t="shared" si="8"/>
        <v>4.9664407813509494E-4</v>
      </c>
      <c r="R30" s="366">
        <f t="shared" si="8"/>
        <v>3.9188947375246247E-4</v>
      </c>
      <c r="S30" s="367"/>
      <c r="T30" s="353"/>
      <c r="U30" s="368" t="s">
        <v>196</v>
      </c>
      <c r="V30" s="369" t="s">
        <v>197</v>
      </c>
      <c r="W30" s="279"/>
      <c r="X30" s="292"/>
      <c r="Y30" s="292"/>
      <c r="Z30" s="292"/>
    </row>
    <row r="31" spans="2:34" ht="17">
      <c r="B31" s="347" t="s">
        <v>198</v>
      </c>
      <c r="C31" s="357">
        <f t="shared" ref="C31:R31" si="9">($K$8*C30+$K$9*C29)/C19</f>
        <v>8.0854856648192772</v>
      </c>
      <c r="D31" s="357">
        <f t="shared" si="9"/>
        <v>8.2752738563333157</v>
      </c>
      <c r="E31" s="357">
        <f t="shared" si="9"/>
        <v>8.5358129501270348</v>
      </c>
      <c r="F31" s="357">
        <f t="shared" si="9"/>
        <v>8.8036943180736049</v>
      </c>
      <c r="G31" s="357">
        <f t="shared" si="9"/>
        <v>9.0670109531774035</v>
      </c>
      <c r="H31" s="357">
        <f t="shared" si="9"/>
        <v>9.3200795242649939</v>
      </c>
      <c r="I31" s="357">
        <f t="shared" si="9"/>
        <v>9.5590895535243003</v>
      </c>
      <c r="J31" s="357">
        <f t="shared" si="9"/>
        <v>9.781089715724594</v>
      </c>
      <c r="K31" s="357">
        <f t="shared" si="9"/>
        <v>9.9837736681565996</v>
      </c>
      <c r="L31" s="357">
        <f t="shared" si="9"/>
        <v>10.165545696178029</v>
      </c>
      <c r="M31" s="357">
        <f t="shared" si="9"/>
        <v>10.325666447491308</v>
      </c>
      <c r="N31" s="357">
        <f t="shared" si="9"/>
        <v>10.582701622040037</v>
      </c>
      <c r="O31" s="357">
        <f t="shared" si="9"/>
        <v>10.766153169054348</v>
      </c>
      <c r="P31" s="357">
        <f t="shared" si="9"/>
        <v>10.89395563410895</v>
      </c>
      <c r="Q31" s="357">
        <f t="shared" si="9"/>
        <v>10.983137756789764</v>
      </c>
      <c r="R31" s="370">
        <f t="shared" si="9"/>
        <v>11.046489467874009</v>
      </c>
      <c r="S31" s="367"/>
      <c r="T31" s="333"/>
      <c r="U31" s="314" t="s">
        <v>199</v>
      </c>
      <c r="V31" s="349" t="s">
        <v>200</v>
      </c>
      <c r="W31" s="279"/>
      <c r="X31" s="292"/>
      <c r="Y31" s="292"/>
      <c r="Z31" s="292"/>
    </row>
    <row r="32" spans="2:34" ht="17">
      <c r="B32" s="347" t="s">
        <v>201</v>
      </c>
      <c r="C32" s="357">
        <f t="shared" ref="C32:R32" si="10">C18</f>
        <v>8.0170499999999993</v>
      </c>
      <c r="D32" s="357">
        <f t="shared" si="10"/>
        <v>8.2924699999999998</v>
      </c>
      <c r="E32" s="357">
        <f t="shared" si="10"/>
        <v>8.5611700000000006</v>
      </c>
      <c r="F32" s="357">
        <f t="shared" si="10"/>
        <v>8.82254</v>
      </c>
      <c r="G32" s="357">
        <f t="shared" si="10"/>
        <v>9.0839200000000009</v>
      </c>
      <c r="H32" s="357">
        <f t="shared" si="10"/>
        <v>9.3391800000000007</v>
      </c>
      <c r="I32" s="357">
        <f t="shared" si="10"/>
        <v>9.5724599999999995</v>
      </c>
      <c r="J32" s="357">
        <f t="shared" si="10"/>
        <v>9.7855899999999991</v>
      </c>
      <c r="K32" s="357">
        <f>K18</f>
        <v>9.9816199999999995</v>
      </c>
      <c r="L32" s="357">
        <f>L18</f>
        <v>10.156890000000001</v>
      </c>
      <c r="M32" s="357">
        <f>M18</f>
        <v>10.30284</v>
      </c>
      <c r="N32" s="357">
        <f>N18</f>
        <v>10.558109999999999</v>
      </c>
      <c r="O32" s="357">
        <f t="shared" si="10"/>
        <v>10.74864</v>
      </c>
      <c r="P32" s="357">
        <f>P18</f>
        <v>10.888489999999999</v>
      </c>
      <c r="Q32" s="357">
        <f t="shared" si="10"/>
        <v>10.99169</v>
      </c>
      <c r="R32" s="370">
        <f t="shared" si="10"/>
        <v>11.0723</v>
      </c>
      <c r="S32" s="371"/>
      <c r="T32" s="372"/>
      <c r="U32" s="314" t="s">
        <v>202</v>
      </c>
      <c r="V32" s="349"/>
      <c r="W32" s="279"/>
      <c r="X32" s="292"/>
      <c r="Y32" s="292"/>
      <c r="Z32" s="292"/>
    </row>
    <row r="33" spans="1:37" ht="18" thickBot="1">
      <c r="B33" s="347" t="s">
        <v>203</v>
      </c>
      <c r="C33" s="357">
        <f t="shared" ref="C33:R33" si="11">$C$18-C18</f>
        <v>0</v>
      </c>
      <c r="D33" s="357">
        <f t="shared" si="11"/>
        <v>-0.27542000000000044</v>
      </c>
      <c r="E33" s="357">
        <f t="shared" si="11"/>
        <v>-0.54412000000000127</v>
      </c>
      <c r="F33" s="357">
        <f t="shared" si="11"/>
        <v>-0.80549000000000071</v>
      </c>
      <c r="G33" s="357">
        <f t="shared" si="11"/>
        <v>-1.0668700000000015</v>
      </c>
      <c r="H33" s="357">
        <f t="shared" si="11"/>
        <v>-1.3221300000000014</v>
      </c>
      <c r="I33" s="357">
        <f t="shared" si="11"/>
        <v>-1.5554100000000002</v>
      </c>
      <c r="J33" s="357">
        <f t="shared" si="11"/>
        <v>-1.7685399999999998</v>
      </c>
      <c r="K33" s="357">
        <f>$C$18-K18</f>
        <v>-1.9645700000000001</v>
      </c>
      <c r="L33" s="357">
        <f>$C$18-L18</f>
        <v>-2.1398400000000013</v>
      </c>
      <c r="M33" s="357">
        <f>$C$18-M18</f>
        <v>-2.2857900000000004</v>
      </c>
      <c r="N33" s="357">
        <f>$C$18-N18</f>
        <v>-2.5410599999999999</v>
      </c>
      <c r="O33" s="357">
        <f t="shared" si="11"/>
        <v>-2.7315900000000006</v>
      </c>
      <c r="P33" s="357">
        <f>$C$18-P18</f>
        <v>-2.8714399999999998</v>
      </c>
      <c r="Q33" s="357">
        <f t="shared" si="11"/>
        <v>-2.9746400000000008</v>
      </c>
      <c r="R33" s="370">
        <f t="shared" si="11"/>
        <v>-3.0552500000000009</v>
      </c>
      <c r="S33" s="371"/>
      <c r="T33" s="372"/>
      <c r="U33" s="314" t="s">
        <v>204</v>
      </c>
      <c r="V33" s="349" t="s">
        <v>205</v>
      </c>
      <c r="W33" s="279"/>
      <c r="X33" s="292"/>
      <c r="Y33" s="292"/>
      <c r="Z33" s="292"/>
    </row>
    <row r="34" spans="1:37">
      <c r="B34" s="347" t="s">
        <v>206</v>
      </c>
      <c r="C34" s="342">
        <f>(C32-C31)*1000</f>
        <v>-68.435664819277875</v>
      </c>
      <c r="D34" s="342">
        <f>(D32-D31)*1000</f>
        <v>17.196143666684094</v>
      </c>
      <c r="E34" s="342">
        <f t="shared" ref="E34:R34" si="12">(E32-E31)*1000</f>
        <v>25.357049872965831</v>
      </c>
      <c r="F34" s="342">
        <f t="shared" si="12"/>
        <v>18.84568192639513</v>
      </c>
      <c r="G34" s="342">
        <f t="shared" si="12"/>
        <v>16.909046822597418</v>
      </c>
      <c r="H34" s="342">
        <f t="shared" si="12"/>
        <v>19.100475735006839</v>
      </c>
      <c r="I34" s="342">
        <f t="shared" si="12"/>
        <v>13.370446475699183</v>
      </c>
      <c r="J34" s="342">
        <f t="shared" si="12"/>
        <v>4.5002842754051642</v>
      </c>
      <c r="K34" s="342">
        <f>(K32-K31)*1000</f>
        <v>-2.1536681566001192</v>
      </c>
      <c r="L34" s="342">
        <f>(L32-L31)*1000</f>
        <v>-8.6556961780281938</v>
      </c>
      <c r="M34" s="342">
        <f>(M32-M31)*1000</f>
        <v>-22.826447491308244</v>
      </c>
      <c r="N34" s="342">
        <f>(N32-N31)*1000</f>
        <v>-24.591622040038175</v>
      </c>
      <c r="O34" s="342">
        <f t="shared" si="12"/>
        <v>-17.51316905434841</v>
      </c>
      <c r="P34" s="342">
        <f>(P32-P31)*1000</f>
        <v>-5.4656341089511784</v>
      </c>
      <c r="Q34" s="342">
        <f t="shared" si="12"/>
        <v>8.5522432102358437</v>
      </c>
      <c r="R34" s="343">
        <f t="shared" si="12"/>
        <v>25.810532125991159</v>
      </c>
      <c r="S34" s="254" t="s">
        <v>149</v>
      </c>
      <c r="T34" s="333"/>
      <c r="U34" s="314" t="s">
        <v>206</v>
      </c>
      <c r="V34" s="349" t="s">
        <v>207</v>
      </c>
      <c r="W34" s="279"/>
      <c r="X34" s="292"/>
      <c r="Y34" s="292"/>
      <c r="Z34" s="292"/>
    </row>
    <row r="35" spans="1:37" ht="16" thickBot="1">
      <c r="B35" s="373" t="s">
        <v>208</v>
      </c>
      <c r="C35" s="342">
        <f t="shared" ref="C35:R35" si="13">C34*C34</f>
        <v>4683.4402192565476</v>
      </c>
      <c r="D35" s="342">
        <f t="shared" si="13"/>
        <v>295.70735700523949</v>
      </c>
      <c r="E35" s="342">
        <f t="shared" si="13"/>
        <v>642.97997826007645</v>
      </c>
      <c r="F35" s="342">
        <f t="shared" si="13"/>
        <v>355.15972727085608</v>
      </c>
      <c r="G35" s="342">
        <f t="shared" si="13"/>
        <v>285.91586444879181</v>
      </c>
      <c r="H35" s="342">
        <f t="shared" si="13"/>
        <v>364.82817330358506</v>
      </c>
      <c r="I35" s="342">
        <f t="shared" si="13"/>
        <v>178.76883895953668</v>
      </c>
      <c r="J35" s="342">
        <f t="shared" si="13"/>
        <v>20.252558559458983</v>
      </c>
      <c r="K35" s="342">
        <f>K34*K34</f>
        <v>4.6382865287533557</v>
      </c>
      <c r="L35" s="342">
        <f>L34*L34</f>
        <v>74.921076326331885</v>
      </c>
      <c r="M35" s="342">
        <f>M34*M34</f>
        <v>521.04670507345247</v>
      </c>
      <c r="N35" s="342">
        <f>N34*N34</f>
        <v>604.7478745600913</v>
      </c>
      <c r="O35" s="342">
        <f t="shared" si="13"/>
        <v>306.71109032618676</v>
      </c>
      <c r="P35" s="342">
        <f t="shared" si="13"/>
        <v>29.873156212930542</v>
      </c>
      <c r="Q35" s="342">
        <f t="shared" si="13"/>
        <v>73.140863927025094</v>
      </c>
      <c r="R35" s="343">
        <f t="shared" si="13"/>
        <v>666.18356862682174</v>
      </c>
      <c r="S35" s="374">
        <f>SUM(C35:R35)</f>
        <v>9108.3153386456852</v>
      </c>
      <c r="T35" s="333"/>
      <c r="U35" s="314" t="s">
        <v>209</v>
      </c>
      <c r="V35" s="349"/>
      <c r="W35" s="292"/>
      <c r="X35" s="292"/>
      <c r="Y35" s="292"/>
      <c r="Z35" s="292"/>
    </row>
    <row r="36" spans="1:37">
      <c r="B36" s="375" t="s">
        <v>210</v>
      </c>
      <c r="C36" s="376">
        <f t="shared" ref="C36:R36" si="14">C21</f>
        <v>0</v>
      </c>
      <c r="D36" s="376">
        <f t="shared" si="14"/>
        <v>0.25402783818211139</v>
      </c>
      <c r="E36" s="376">
        <f t="shared" si="14"/>
        <v>0.50805567636422277</v>
      </c>
      <c r="F36" s="376">
        <f t="shared" si="14"/>
        <v>0.76208351454633405</v>
      </c>
      <c r="G36" s="376">
        <f t="shared" si="14"/>
        <v>1.0161113527284455</v>
      </c>
      <c r="H36" s="376">
        <f t="shared" si="14"/>
        <v>1.2701391909105566</v>
      </c>
      <c r="I36" s="376">
        <f t="shared" si="14"/>
        <v>1.5241670290926681</v>
      </c>
      <c r="J36" s="376">
        <f t="shared" si="14"/>
        <v>1.7781948672747792</v>
      </c>
      <c r="K36" s="376">
        <f>K21</f>
        <v>2.0322227054568911</v>
      </c>
      <c r="L36" s="376">
        <f>L21</f>
        <v>2.2862505436390022</v>
      </c>
      <c r="M36" s="376">
        <f>M21</f>
        <v>2.5402783818211137</v>
      </c>
      <c r="N36" s="376">
        <f>N21</f>
        <v>3.0483340581853362</v>
      </c>
      <c r="O36" s="376">
        <f t="shared" si="14"/>
        <v>3.5563897345495588</v>
      </c>
      <c r="P36" s="376">
        <f>P21</f>
        <v>4.0644454109137822</v>
      </c>
      <c r="Q36" s="376">
        <f t="shared" si="14"/>
        <v>4.5725010872780052</v>
      </c>
      <c r="R36" s="377">
        <f t="shared" si="14"/>
        <v>5.0805567636422264</v>
      </c>
      <c r="S36" s="323"/>
      <c r="T36" s="378" t="s">
        <v>210</v>
      </c>
      <c r="U36" s="379" t="str">
        <f>U21</f>
        <v>[G]0 /[H]0</v>
      </c>
      <c r="V36" s="380" t="s">
        <v>211</v>
      </c>
      <c r="W36" s="292"/>
      <c r="X36" s="292"/>
      <c r="Y36" s="292"/>
      <c r="Z36" s="292"/>
    </row>
    <row r="37" spans="1:37">
      <c r="B37" s="381" t="s">
        <v>212</v>
      </c>
      <c r="C37" s="382">
        <f>C31</f>
        <v>8.0854856648192772</v>
      </c>
      <c r="D37" s="382">
        <f>D31</f>
        <v>8.2752738563333157</v>
      </c>
      <c r="E37" s="382">
        <f t="shared" ref="E37:R38" si="15">E31</f>
        <v>8.5358129501270348</v>
      </c>
      <c r="F37" s="382">
        <f t="shared" si="15"/>
        <v>8.8036943180736049</v>
      </c>
      <c r="G37" s="382">
        <f t="shared" si="15"/>
        <v>9.0670109531774035</v>
      </c>
      <c r="H37" s="382">
        <f t="shared" si="15"/>
        <v>9.3200795242649939</v>
      </c>
      <c r="I37" s="382">
        <f t="shared" si="15"/>
        <v>9.5590895535243003</v>
      </c>
      <c r="J37" s="382">
        <f t="shared" si="15"/>
        <v>9.781089715724594</v>
      </c>
      <c r="K37" s="382">
        <f t="shared" si="15"/>
        <v>9.9837736681565996</v>
      </c>
      <c r="L37" s="382">
        <f t="shared" si="15"/>
        <v>10.165545696178029</v>
      </c>
      <c r="M37" s="382">
        <f t="shared" si="15"/>
        <v>10.325666447491308</v>
      </c>
      <c r="N37" s="382">
        <f t="shared" si="15"/>
        <v>10.582701622040037</v>
      </c>
      <c r="O37" s="382">
        <f t="shared" si="15"/>
        <v>10.766153169054348</v>
      </c>
      <c r="P37" s="382">
        <f>P31</f>
        <v>10.89395563410895</v>
      </c>
      <c r="Q37" s="382">
        <f t="shared" si="15"/>
        <v>10.983137756789764</v>
      </c>
      <c r="R37" s="383">
        <f t="shared" si="15"/>
        <v>11.046489467874009</v>
      </c>
      <c r="S37" s="323"/>
      <c r="T37" s="384" t="s">
        <v>213</v>
      </c>
      <c r="U37" s="314" t="str">
        <f>"calcd. "&amp;I11</f>
        <v>calcd. Ha</v>
      </c>
      <c r="V37" s="349" t="s">
        <v>214</v>
      </c>
      <c r="W37" s="292"/>
      <c r="X37" s="292"/>
      <c r="Y37" s="292"/>
      <c r="Z37" s="292"/>
    </row>
    <row r="38" spans="1:37">
      <c r="B38" s="381" t="s">
        <v>215</v>
      </c>
      <c r="C38" s="385">
        <f>C32</f>
        <v>8.0170499999999993</v>
      </c>
      <c r="D38" s="385">
        <f>D32</f>
        <v>8.2924699999999998</v>
      </c>
      <c r="E38" s="385">
        <f t="shared" si="15"/>
        <v>8.5611700000000006</v>
      </c>
      <c r="F38" s="385">
        <f t="shared" si="15"/>
        <v>8.82254</v>
      </c>
      <c r="G38" s="385">
        <f t="shared" si="15"/>
        <v>9.0839200000000009</v>
      </c>
      <c r="H38" s="385">
        <f t="shared" si="15"/>
        <v>9.3391800000000007</v>
      </c>
      <c r="I38" s="385">
        <f t="shared" si="15"/>
        <v>9.5724599999999995</v>
      </c>
      <c r="J38" s="385">
        <f t="shared" si="15"/>
        <v>9.7855899999999991</v>
      </c>
      <c r="K38" s="385">
        <f t="shared" si="15"/>
        <v>9.9816199999999995</v>
      </c>
      <c r="L38" s="385">
        <f t="shared" si="15"/>
        <v>10.156890000000001</v>
      </c>
      <c r="M38" s="385">
        <f t="shared" si="15"/>
        <v>10.30284</v>
      </c>
      <c r="N38" s="385">
        <f t="shared" si="15"/>
        <v>10.558109999999999</v>
      </c>
      <c r="O38" s="385">
        <f t="shared" si="15"/>
        <v>10.74864</v>
      </c>
      <c r="P38" s="385">
        <f>P32</f>
        <v>10.888489999999999</v>
      </c>
      <c r="Q38" s="385">
        <f t="shared" si="15"/>
        <v>10.99169</v>
      </c>
      <c r="R38" s="386">
        <f t="shared" si="15"/>
        <v>11.0723</v>
      </c>
      <c r="S38" s="323"/>
      <c r="T38" s="384" t="s">
        <v>216</v>
      </c>
      <c r="U38" s="314" t="str">
        <f>"obs. "&amp;I11</f>
        <v>obs. Ha</v>
      </c>
      <c r="V38" s="349" t="s">
        <v>217</v>
      </c>
      <c r="W38" s="292"/>
      <c r="X38" s="292"/>
      <c r="Y38" s="292"/>
      <c r="Z38" s="292"/>
    </row>
    <row r="39" spans="1:37">
      <c r="B39" s="387"/>
      <c r="C39" s="388">
        <v>0</v>
      </c>
      <c r="D39" s="388">
        <f t="shared" ref="D39:R39" si="16">D26/D$20</f>
        <v>0.54327768473851157</v>
      </c>
      <c r="E39" s="388">
        <f>E26/E$20</f>
        <v>0.45814721471760644</v>
      </c>
      <c r="F39" s="388">
        <f t="shared" si="16"/>
        <v>0.42388070206346184</v>
      </c>
      <c r="G39" s="388">
        <f t="shared" si="16"/>
        <v>0.40949368528883862</v>
      </c>
      <c r="H39" s="388">
        <f t="shared" si="16"/>
        <v>0.40579383638633842</v>
      </c>
      <c r="I39" s="388">
        <f t="shared" si="16"/>
        <v>0.40896588063198797</v>
      </c>
      <c r="J39" s="388">
        <f t="shared" si="16"/>
        <v>0.41707933782220302</v>
      </c>
      <c r="K39" s="388">
        <f t="shared" si="16"/>
        <v>0.42897495031112476</v>
      </c>
      <c r="L39" s="388">
        <f t="shared" si="16"/>
        <v>0.44381867325866514</v>
      </c>
      <c r="M39" s="388">
        <f t="shared" si="16"/>
        <v>0.46090399750156297</v>
      </c>
      <c r="N39" s="388">
        <f t="shared" si="16"/>
        <v>0.49920740388220675</v>
      </c>
      <c r="O39" s="388">
        <f t="shared" si="16"/>
        <v>0.5392153976603008</v>
      </c>
      <c r="P39" s="388">
        <f t="shared" si="16"/>
        <v>0.57759130834100914</v>
      </c>
      <c r="Q39" s="388">
        <f t="shared" si="16"/>
        <v>0.61260253053990055</v>
      </c>
      <c r="R39" s="389">
        <f t="shared" si="16"/>
        <v>0.6437195323795506</v>
      </c>
      <c r="S39" s="323"/>
      <c r="T39" s="333" t="s">
        <v>218</v>
      </c>
      <c r="U39" s="334" t="s">
        <v>219</v>
      </c>
      <c r="V39" s="335"/>
      <c r="W39" s="292"/>
      <c r="X39" s="292"/>
      <c r="Y39" s="292"/>
      <c r="Z39" s="292"/>
    </row>
    <row r="40" spans="1:37">
      <c r="B40" s="387"/>
      <c r="C40" s="388">
        <v>0</v>
      </c>
      <c r="D40" s="388">
        <f t="shared" ref="D40:R40" si="17">2*D29/D$20</f>
        <v>0.45672231526148888</v>
      </c>
      <c r="E40" s="388">
        <f t="shared" si="17"/>
        <v>0.54185278528239367</v>
      </c>
      <c r="F40" s="388">
        <f t="shared" si="17"/>
        <v>0.5761192979365608</v>
      </c>
      <c r="G40" s="388">
        <f t="shared" si="17"/>
        <v>0.5905063147111882</v>
      </c>
      <c r="H40" s="388">
        <f t="shared" si="17"/>
        <v>0.59420616361366929</v>
      </c>
      <c r="I40" s="388">
        <f t="shared" si="17"/>
        <v>0.5910341193680192</v>
      </c>
      <c r="J40" s="388">
        <f t="shared" si="17"/>
        <v>0.58292066217780203</v>
      </c>
      <c r="K40" s="388">
        <f t="shared" si="17"/>
        <v>0.57102504968887924</v>
      </c>
      <c r="L40" s="388">
        <f t="shared" si="17"/>
        <v>0.55618132674133869</v>
      </c>
      <c r="M40" s="388">
        <f t="shared" si="17"/>
        <v>0.5390960024984397</v>
      </c>
      <c r="N40" s="388">
        <f t="shared" si="17"/>
        <v>0.50079259611779636</v>
      </c>
      <c r="O40" s="388">
        <f t="shared" si="17"/>
        <v>0.46078460234065621</v>
      </c>
      <c r="P40" s="388">
        <f t="shared" si="17"/>
        <v>0.42240869165899275</v>
      </c>
      <c r="Q40" s="388">
        <f t="shared" si="17"/>
        <v>0.38739746946010178</v>
      </c>
      <c r="R40" s="389">
        <f t="shared" si="17"/>
        <v>0.35628046762045212</v>
      </c>
      <c r="S40" s="323"/>
      <c r="T40" s="333"/>
      <c r="U40" s="334" t="s">
        <v>220</v>
      </c>
      <c r="V40" s="335"/>
      <c r="W40" s="292"/>
      <c r="X40" s="292"/>
      <c r="Y40" s="292"/>
      <c r="Z40" s="292"/>
    </row>
    <row r="41" spans="1:37">
      <c r="B41" s="387"/>
      <c r="C41" s="388">
        <f t="shared" ref="C41:R41" si="18">C30/C$19</f>
        <v>1</v>
      </c>
      <c r="D41" s="388">
        <f t="shared" si="18"/>
        <v>0.9419899088022976</v>
      </c>
      <c r="E41" s="388">
        <f t="shared" si="18"/>
        <v>0.86235430834175775</v>
      </c>
      <c r="F41" s="388">
        <f t="shared" si="18"/>
        <v>0.78047449031526961</v>
      </c>
      <c r="G41" s="388">
        <f t="shared" si="18"/>
        <v>0.69998991488206264</v>
      </c>
      <c r="H41" s="388">
        <f t="shared" si="18"/>
        <v>0.62263773205683404</v>
      </c>
      <c r="I41" s="388">
        <f t="shared" si="18"/>
        <v>0.54958264109522248</v>
      </c>
      <c r="J41" s="388">
        <f t="shared" si="18"/>
        <v>0.48172673524350862</v>
      </c>
      <c r="K41" s="388">
        <f t="shared" si="18"/>
        <v>0.41977496431880507</v>
      </c>
      <c r="L41" s="388">
        <f t="shared" si="18"/>
        <v>0.36421506968787654</v>
      </c>
      <c r="M41" s="388">
        <f t="shared" si="18"/>
        <v>0.31527303956351621</v>
      </c>
      <c r="N41" s="388">
        <f t="shared" si="18"/>
        <v>0.23670843658353372</v>
      </c>
      <c r="O41" s="388">
        <f t="shared" si="18"/>
        <v>0.18063518519859489</v>
      </c>
      <c r="P41" s="388">
        <f t="shared" si="18"/>
        <v>0.14157146582825603</v>
      </c>
      <c r="Q41" s="388">
        <f t="shared" si="18"/>
        <v>0.11431232484246848</v>
      </c>
      <c r="R41" s="389">
        <f t="shared" si="18"/>
        <v>9.4948430238648407E-2</v>
      </c>
      <c r="S41" s="323"/>
      <c r="T41" s="333" t="s">
        <v>221</v>
      </c>
      <c r="U41" s="334" t="s">
        <v>222</v>
      </c>
      <c r="V41" s="335"/>
      <c r="W41" s="292"/>
      <c r="X41" s="292"/>
      <c r="Y41" s="292"/>
      <c r="Z41" s="292"/>
    </row>
    <row r="42" spans="1:37" ht="16" thickBot="1">
      <c r="B42" s="390"/>
      <c r="C42" s="391">
        <f>C29/C$19</f>
        <v>9.8391698350381556E-31</v>
      </c>
      <c r="D42" s="391">
        <f t="shared" ref="D42:R42" si="19">D29/D$19</f>
        <v>5.8010091197702382E-2</v>
      </c>
      <c r="E42" s="391">
        <f t="shared" si="19"/>
        <v>0.13764569165824223</v>
      </c>
      <c r="F42" s="391">
        <f>F29/F$19</f>
        <v>0.21952550968473042</v>
      </c>
      <c r="G42" s="391">
        <f>G29/G$19</f>
        <v>0.30001008511793725</v>
      </c>
      <c r="H42" s="391">
        <f t="shared" si="19"/>
        <v>0.37736226794316585</v>
      </c>
      <c r="I42" s="391">
        <f t="shared" si="19"/>
        <v>0.45041735890477758</v>
      </c>
      <c r="J42" s="391">
        <f>J29/J$19</f>
        <v>0.51827326475649149</v>
      </c>
      <c r="K42" s="391">
        <f>K29/K$19</f>
        <v>0.58022503568119488</v>
      </c>
      <c r="L42" s="391">
        <f>L29/L$19</f>
        <v>0.63578493031212346</v>
      </c>
      <c r="M42" s="391">
        <f>M29/M$19</f>
        <v>0.68472696043648384</v>
      </c>
      <c r="N42" s="391">
        <f>N29/N$19</f>
        <v>0.76329156341646609</v>
      </c>
      <c r="O42" s="391">
        <f t="shared" si="19"/>
        <v>0.81936481480140511</v>
      </c>
      <c r="P42" s="391">
        <f>P29/P$19</f>
        <v>0.85842853417174403</v>
      </c>
      <c r="Q42" s="391">
        <f t="shared" si="19"/>
        <v>0.88568767515753155</v>
      </c>
      <c r="R42" s="392">
        <f t="shared" si="19"/>
        <v>0.9050515697613517</v>
      </c>
      <c r="S42" s="323"/>
      <c r="T42" s="393"/>
      <c r="U42" s="394" t="s">
        <v>223</v>
      </c>
      <c r="V42" s="395"/>
      <c r="W42" s="292"/>
      <c r="X42" s="292"/>
      <c r="Y42" s="292"/>
      <c r="Z42" s="292"/>
    </row>
    <row r="43" spans="1:37" ht="16" thickBot="1"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396"/>
      <c r="U43" s="292"/>
      <c r="V43" s="292"/>
      <c r="W43" s="292"/>
      <c r="X43" s="292"/>
      <c r="Y43" s="292"/>
      <c r="Z43" s="292"/>
    </row>
    <row r="44" spans="1:37" ht="19" thickBot="1">
      <c r="A44" s="292"/>
      <c r="B44" s="277" t="s">
        <v>224</v>
      </c>
      <c r="C44" s="21" t="s">
        <v>225</v>
      </c>
      <c r="D44" s="271"/>
      <c r="E44" s="2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</row>
    <row r="45" spans="1:37" ht="18">
      <c r="A45" s="292"/>
      <c r="B45" s="397" t="s">
        <v>226</v>
      </c>
      <c r="C45" s="398">
        <f>C23/C$22</f>
        <v>1.6509571470216696E-2</v>
      </c>
      <c r="D45" s="398">
        <f>D23/D$22</f>
        <v>1.3726310566924372E-2</v>
      </c>
      <c r="E45" s="398">
        <f>E23/E$22</f>
        <v>1.1196073382113168E-2</v>
      </c>
      <c r="F45" s="398">
        <f t="shared" ref="F45:R45" si="20">F23/F$22</f>
        <v>8.8858568220681593E-3</v>
      </c>
      <c r="G45" s="398">
        <f t="shared" si="20"/>
        <v>6.7681583086935627E-3</v>
      </c>
      <c r="H45" s="398">
        <f t="shared" si="20"/>
        <v>4.8198756763889383E-3</v>
      </c>
      <c r="I45" s="398">
        <f t="shared" si="20"/>
        <v>3.0214609388769763E-3</v>
      </c>
      <c r="J45" s="398">
        <f t="shared" si="20"/>
        <v>1.3562621078473808E-3</v>
      </c>
      <c r="K45" s="398">
        <f t="shared" si="20"/>
        <v>-1.8999394953724525E-4</v>
      </c>
      <c r="L45" s="398">
        <f t="shared" si="20"/>
        <v>-1.62961165813672E-3</v>
      </c>
      <c r="M45" s="398">
        <f t="shared" si="20"/>
        <v>-2.9732548528295689E-3</v>
      </c>
      <c r="N45" s="398">
        <f t="shared" si="20"/>
        <v>-5.4086081432103503E-3</v>
      </c>
      <c r="O45" s="398">
        <f t="shared" si="20"/>
        <v>-7.5574492817816266E-3</v>
      </c>
      <c r="P45" s="398">
        <f t="shared" si="20"/>
        <v>-9.4675302938449883E-3</v>
      </c>
      <c r="Q45" s="398">
        <f t="shared" si="20"/>
        <v>-1.1176550146743784E-2</v>
      </c>
      <c r="R45" s="399">
        <f t="shared" si="20"/>
        <v>-1.2714668014352695E-2</v>
      </c>
      <c r="S45" s="292"/>
      <c r="T45" s="400" t="s">
        <v>225</v>
      </c>
      <c r="U45" s="271"/>
      <c r="V45" s="401" t="s">
        <v>227</v>
      </c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</row>
    <row r="46" spans="1:37" ht="18">
      <c r="A46" s="292"/>
      <c r="B46" s="387" t="s">
        <v>225</v>
      </c>
      <c r="C46" s="402">
        <f>C24/C$22</f>
        <v>1.9115341973445732E-5</v>
      </c>
      <c r="D46" s="402">
        <f>D24/D$22</f>
        <v>1.9115341973445732E-5</v>
      </c>
      <c r="E46" s="402">
        <f t="shared" ref="E46:R47" si="21">E24/E$22</f>
        <v>1.9115341973445732E-5</v>
      </c>
      <c r="F46" s="402">
        <f t="shared" si="21"/>
        <v>1.9115341973445732E-5</v>
      </c>
      <c r="G46" s="402">
        <f t="shared" si="21"/>
        <v>1.9115341973445732E-5</v>
      </c>
      <c r="H46" s="402">
        <f t="shared" si="21"/>
        <v>1.9115341973445732E-5</v>
      </c>
      <c r="I46" s="402">
        <f t="shared" si="21"/>
        <v>1.9115341973445732E-5</v>
      </c>
      <c r="J46" s="402">
        <f t="shared" si="21"/>
        <v>1.9115341973445732E-5</v>
      </c>
      <c r="K46" s="402">
        <f t="shared" si="21"/>
        <v>1.9115341973445732E-5</v>
      </c>
      <c r="L46" s="402">
        <f t="shared" si="21"/>
        <v>1.9115341973445732E-5</v>
      </c>
      <c r="M46" s="402">
        <f t="shared" si="21"/>
        <v>1.9115341973445732E-5</v>
      </c>
      <c r="N46" s="402">
        <f t="shared" si="21"/>
        <v>1.9115341973445732E-5</v>
      </c>
      <c r="O46" s="402">
        <f t="shared" si="21"/>
        <v>1.9115341973445732E-5</v>
      </c>
      <c r="P46" s="402">
        <f t="shared" si="21"/>
        <v>1.9115341973445732E-5</v>
      </c>
      <c r="Q46" s="402">
        <f t="shared" si="21"/>
        <v>1.9115341973445732E-5</v>
      </c>
      <c r="R46" s="403">
        <f t="shared" si="21"/>
        <v>1.9115341973445732E-5</v>
      </c>
      <c r="S46" s="292"/>
      <c r="T46" s="404" t="s">
        <v>228</v>
      </c>
      <c r="U46" s="279"/>
      <c r="V46" s="405" t="s">
        <v>229</v>
      </c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</row>
    <row r="47" spans="1:37" ht="19" thickBot="1">
      <c r="A47" s="292"/>
      <c r="B47" s="387"/>
      <c r="C47" s="406">
        <f>C25/C$22</f>
        <v>0</v>
      </c>
      <c r="D47" s="406">
        <f>D25/D$22</f>
        <v>-3.8175074230219214E-8</v>
      </c>
      <c r="E47" s="406">
        <f t="shared" si="21"/>
        <v>-7.2879687166782128E-8</v>
      </c>
      <c r="F47" s="406">
        <f t="shared" si="21"/>
        <v>-1.045665076740787E-7</v>
      </c>
      <c r="G47" s="406">
        <f t="shared" si="21"/>
        <v>-1.3361275980576724E-7</v>
      </c>
      <c r="H47" s="406">
        <f t="shared" si="21"/>
        <v>-1.6033531176692068E-7</v>
      </c>
      <c r="I47" s="406">
        <f t="shared" si="21"/>
        <v>-1.8500228280798539E-7</v>
      </c>
      <c r="J47" s="406">
        <f t="shared" si="21"/>
        <v>-2.0784207080897124E-7</v>
      </c>
      <c r="K47" s="406">
        <f t="shared" si="21"/>
        <v>-2.2905044538131528E-7</v>
      </c>
      <c r="L47" s="406">
        <f t="shared" si="21"/>
        <v>-2.4879617343142865E-7</v>
      </c>
      <c r="M47" s="406">
        <f t="shared" si="21"/>
        <v>-2.6722551961153448E-7</v>
      </c>
      <c r="N47" s="406">
        <f t="shared" si="21"/>
        <v>-3.0062870956297625E-7</v>
      </c>
      <c r="O47" s="406">
        <f t="shared" si="21"/>
        <v>-3.3010211246130723E-7</v>
      </c>
      <c r="P47" s="406">
        <f t="shared" si="21"/>
        <v>-3.5630069281537933E-7</v>
      </c>
      <c r="Q47" s="406">
        <f t="shared" si="21"/>
        <v>-3.7974152786902268E-7</v>
      </c>
      <c r="R47" s="407">
        <f t="shared" si="21"/>
        <v>-4.0083827941730167E-7</v>
      </c>
      <c r="S47" s="292"/>
      <c r="T47" s="408"/>
      <c r="U47" s="309"/>
      <c r="V47" s="409" t="s">
        <v>230</v>
      </c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</row>
    <row r="48" spans="1:37" ht="18">
      <c r="A48" s="292"/>
      <c r="B48" s="362"/>
      <c r="C48" s="402">
        <f>(3*C46-C45^2)/9</f>
        <v>-2.3913324912206206E-5</v>
      </c>
      <c r="D48" s="402">
        <f>(3*D46-D45^2)/9</f>
        <v>-1.4562841762146945E-5</v>
      </c>
      <c r="E48" s="402">
        <f>(3*E46-E45^2)/9</f>
        <v>-7.5562259174806451E-6</v>
      </c>
      <c r="F48" s="402">
        <f t="shared" ref="F48:R48" si="22">(3*F46-F45^2)/9</f>
        <v>-2.4013806157731176E-6</v>
      </c>
      <c r="G48" s="402">
        <f t="shared" si="22"/>
        <v>1.282006558755499E-6</v>
      </c>
      <c r="H48" s="402">
        <f t="shared" si="22"/>
        <v>3.7905360427212744E-6</v>
      </c>
      <c r="I48" s="402">
        <f t="shared" si="22"/>
        <v>5.3574221905753175E-6</v>
      </c>
      <c r="J48" s="402">
        <f t="shared" si="22"/>
        <v>6.1673976683505082E-6</v>
      </c>
      <c r="K48" s="402">
        <f t="shared" si="22"/>
        <v>6.3677698021640489E-6</v>
      </c>
      <c r="L48" s="402">
        <f t="shared" si="22"/>
        <v>6.076710196000232E-6</v>
      </c>
      <c r="M48" s="402">
        <f t="shared" si="22"/>
        <v>5.3895312778291797E-6</v>
      </c>
      <c r="N48" s="402">
        <f t="shared" si="22"/>
        <v>3.121442652615098E-6</v>
      </c>
      <c r="O48" s="402">
        <f t="shared" si="22"/>
        <v>2.5665141515063613E-8</v>
      </c>
      <c r="P48" s="402">
        <f t="shared" si="22"/>
        <v>-3.5875671049483756E-6</v>
      </c>
      <c r="Q48" s="402">
        <f t="shared" si="22"/>
        <v>-7.5076941402601463E-6</v>
      </c>
      <c r="R48" s="403">
        <f t="shared" si="22"/>
        <v>-1.1590750754985144E-5</v>
      </c>
      <c r="S48" s="292"/>
      <c r="T48" s="404"/>
      <c r="U48" s="279"/>
      <c r="V48" s="405" t="s">
        <v>231</v>
      </c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</row>
    <row r="49" spans="1:37" ht="18">
      <c r="A49" s="292"/>
      <c r="B49" s="387"/>
      <c r="C49" s="402">
        <f>(9*C45*C46-27*C47-2*C45^3)/54</f>
        <v>-1.1406702088240309E-7</v>
      </c>
      <c r="D49" s="402">
        <f>(9*D45*D46-27*D47-2*D45^3)/54</f>
        <v>-3.2966985777376497E-8</v>
      </c>
      <c r="E49" s="402">
        <f>(9*E45*E46-27*E47-2*E45^3)/54</f>
        <v>2.0129644265349632E-8</v>
      </c>
      <c r="F49" s="402">
        <f t="shared" ref="F49:R49" si="23">(9*F45*F46-27*F47-2*F45^3)/54</f>
        <v>5.4606934165851016E-8</v>
      </c>
      <c r="G49" s="402">
        <f t="shared" si="23"/>
        <v>7.6886191050424714E-8</v>
      </c>
      <c r="H49" s="402">
        <f t="shared" si="23"/>
        <v>9.1376158475704491E-8</v>
      </c>
      <c r="I49" s="402">
        <f t="shared" si="23"/>
        <v>1.0110556975940481E-7</v>
      </c>
      <c r="J49" s="402">
        <f t="shared" si="23"/>
        <v>1.0814953876930726E-7</v>
      </c>
      <c r="K49" s="402">
        <f t="shared" si="23"/>
        <v>1.1392017681704469E-7</v>
      </c>
      <c r="L49" s="402">
        <f t="shared" si="23"/>
        <v>1.1936660611569664E-7</v>
      </c>
      <c r="M49" s="402">
        <f t="shared" si="23"/>
        <v>1.2511378850333733E-7</v>
      </c>
      <c r="N49" s="402">
        <f t="shared" si="23"/>
        <v>1.3894305727288715E-7</v>
      </c>
      <c r="O49" s="402">
        <f t="shared" si="23"/>
        <v>1.5696066703620434E-7</v>
      </c>
      <c r="P49" s="402">
        <f t="shared" si="23"/>
        <v>1.7941797542285628E-7</v>
      </c>
      <c r="Q49" s="402">
        <f t="shared" si="23"/>
        <v>2.0597171627516796E-7</v>
      </c>
      <c r="R49" s="403">
        <f t="shared" si="23"/>
        <v>2.3604080971683304E-7</v>
      </c>
      <c r="S49" s="292"/>
      <c r="T49" s="404"/>
      <c r="U49" s="279"/>
      <c r="V49" s="405" t="s">
        <v>232</v>
      </c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</row>
    <row r="50" spans="1:37" ht="19" thickBot="1">
      <c r="A50" s="292"/>
      <c r="B50" s="410"/>
      <c r="C50" s="402">
        <f>C48^3+C49^2</f>
        <v>-6.6348044925377565E-16</v>
      </c>
      <c r="D50" s="402">
        <f>D48^3+D49^2</f>
        <v>-2.0016123236835649E-15</v>
      </c>
      <c r="E50" s="402">
        <f>E48^3+E49^2</f>
        <v>-2.62318535357754E-17</v>
      </c>
      <c r="F50" s="402">
        <f t="shared" ref="F50:R50" si="24">F48^3+F49^2</f>
        <v>2.9680693882264764E-15</v>
      </c>
      <c r="G50" s="402">
        <f t="shared" si="24"/>
        <v>5.9135934043489911E-15</v>
      </c>
      <c r="H50" s="402">
        <f t="shared" si="24"/>
        <v>8.4040653793580496E-15</v>
      </c>
      <c r="I50" s="402">
        <f t="shared" si="24"/>
        <v>1.0376104820909033E-14</v>
      </c>
      <c r="J50" s="402">
        <f t="shared" si="24"/>
        <v>1.1930910770638404E-14</v>
      </c>
      <c r="K50" s="402">
        <f t="shared" si="24"/>
        <v>1.3236010150520908E-14</v>
      </c>
      <c r="L50" s="402">
        <f t="shared" si="24"/>
        <v>1.4472777728320591E-14</v>
      </c>
      <c r="M50" s="402">
        <f t="shared" si="24"/>
        <v>1.5810010044120141E-14</v>
      </c>
      <c r="N50" s="402">
        <f t="shared" si="24"/>
        <v>1.9335586641893117E-14</v>
      </c>
      <c r="O50" s="402">
        <f t="shared" si="24"/>
        <v>2.4636651013355819E-14</v>
      </c>
      <c r="P50" s="402">
        <f t="shared" si="24"/>
        <v>3.2144635628287808E-14</v>
      </c>
      <c r="Q50" s="402">
        <f t="shared" si="24"/>
        <v>4.2001173186718531E-14</v>
      </c>
      <c r="R50" s="403">
        <f t="shared" si="24"/>
        <v>5.4158098610708075E-14</v>
      </c>
      <c r="S50" s="292"/>
      <c r="T50" s="408"/>
      <c r="U50" s="309"/>
      <c r="V50" s="409" t="s">
        <v>233</v>
      </c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</row>
    <row r="51" spans="1:37" ht="18">
      <c r="A51" s="292"/>
      <c r="B51" s="362"/>
      <c r="C51" s="398" t="e">
        <f>(C49+(C48^3+C49^2)^0.5)^(0.333333333333333)</f>
        <v>#NUM!</v>
      </c>
      <c r="D51" s="398" t="e">
        <f>(D49+(D48^3+D49^2)^0.5)^(0.333333333333333)</f>
        <v>#NUM!</v>
      </c>
      <c r="E51" s="398" t="e">
        <f>(E49+(E48^3+E49^2)^0.5)^(0.333333333333333)</f>
        <v>#NUM!</v>
      </c>
      <c r="F51" s="398">
        <f t="shared" ref="F51:R51" si="25">(F49+(F48^3+F49^2)^0.5)^(0.333333333333333)</f>
        <v>4.7781256529669247E-3</v>
      </c>
      <c r="G51" s="398">
        <f t="shared" si="25"/>
        <v>5.3576254048009085E-3</v>
      </c>
      <c r="H51" s="398">
        <f t="shared" si="25"/>
        <v>5.6779268221887787E-3</v>
      </c>
      <c r="I51" s="398">
        <f t="shared" si="25"/>
        <v>5.8768289404459795E-3</v>
      </c>
      <c r="J51" s="398">
        <f t="shared" si="25"/>
        <v>6.0127345021705574E-3</v>
      </c>
      <c r="K51" s="398">
        <f t="shared" si="25"/>
        <v>6.1177485156954743E-3</v>
      </c>
      <c r="L51" s="398">
        <f t="shared" si="25"/>
        <v>6.2116107824676924E-3</v>
      </c>
      <c r="M51" s="398">
        <f t="shared" si="25"/>
        <v>6.3067505612997904E-3</v>
      </c>
      <c r="N51" s="398">
        <f t="shared" si="25"/>
        <v>6.5264837995722942E-3</v>
      </c>
      <c r="O51" s="398">
        <f t="shared" si="25"/>
        <v>6.7963167345788233E-3</v>
      </c>
      <c r="P51" s="398">
        <f t="shared" si="25"/>
        <v>7.1052611056009896E-3</v>
      </c>
      <c r="Q51" s="398">
        <f t="shared" si="25"/>
        <v>7.4344726757937588E-3</v>
      </c>
      <c r="R51" s="399">
        <f t="shared" si="25"/>
        <v>7.768135045402599E-3</v>
      </c>
      <c r="S51" s="292"/>
      <c r="T51" s="404"/>
      <c r="U51" s="279"/>
      <c r="V51" s="405" t="s">
        <v>234</v>
      </c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</row>
    <row r="52" spans="1:37" ht="18">
      <c r="A52" s="292"/>
      <c r="B52" s="387"/>
      <c r="C52" s="402" t="e">
        <f>(C49-(C48^3+C49^2)^0.5)^(0.333333333333333)</f>
        <v>#NUM!</v>
      </c>
      <c r="D52" s="402" t="e">
        <f>(D49-(D48^3+D49^2)^0.5)^(0.333333333333333)</f>
        <v>#NUM!</v>
      </c>
      <c r="E52" s="402" t="e">
        <f>(E49-(E48^3+E49^2)^0.5)^(0.333333333333333)</f>
        <v>#NUM!</v>
      </c>
      <c r="F52" s="402">
        <f t="shared" ref="F52:R52" si="26">(F49-(F48^3+F49^2)^0.5)^(0.333333333333333)</f>
        <v>5.0257795424070992E-4</v>
      </c>
      <c r="G52" s="402">
        <f t="shared" si="26"/>
        <v>-2.3928633711616871E-4</v>
      </c>
      <c r="H52" s="402">
        <f t="shared" si="26"/>
        <v>-6.6759156315792539E-4</v>
      </c>
      <c r="I52" s="402">
        <f t="shared" si="26"/>
        <v>-9.1161785460592626E-4</v>
      </c>
      <c r="J52" s="402">
        <f t="shared" si="26"/>
        <v>-1.0257226002784922E-3</v>
      </c>
      <c r="K52" s="402">
        <f t="shared" si="26"/>
        <v>-1.0408681863641862E-3</v>
      </c>
      <c r="L52" s="402">
        <f t="shared" si="26"/>
        <v>-9.7828251138204697E-4</v>
      </c>
      <c r="M52" s="402">
        <f t="shared" si="26"/>
        <v>-8.5456547320915703E-4</v>
      </c>
      <c r="N52" s="402">
        <f t="shared" si="26"/>
        <v>-4.7827325532007192E-4</v>
      </c>
      <c r="O52" s="402">
        <f t="shared" si="26"/>
        <v>-3.7763309792328481E-6</v>
      </c>
      <c r="P52" s="402">
        <f t="shared" si="26"/>
        <v>5.0491699764844444E-4</v>
      </c>
      <c r="Q52" s="402">
        <f t="shared" si="26"/>
        <v>1.0098489116390017E-3</v>
      </c>
      <c r="R52" s="403">
        <f t="shared" si="26"/>
        <v>1.4920892450041806E-3</v>
      </c>
      <c r="S52" s="292"/>
      <c r="T52" s="404"/>
      <c r="U52" s="279"/>
      <c r="V52" s="405" t="s">
        <v>235</v>
      </c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</row>
    <row r="53" spans="1:37" ht="20">
      <c r="A53" s="292"/>
      <c r="B53" s="387"/>
      <c r="C53" s="402">
        <f>C49/(-C48^3)^0.5</f>
        <v>-0.97543908204201113</v>
      </c>
      <c r="D53" s="402">
        <f>D49/(-D48^3)^0.5</f>
        <v>-0.59321216006465372</v>
      </c>
      <c r="E53" s="402">
        <f>E49/(-E48^3)^0.5</f>
        <v>0.9691225497239907</v>
      </c>
      <c r="F53" s="402">
        <f t="shared" ref="F53:R53" si="27">F49/(-F48^3)^0.5</f>
        <v>14.674262828012388</v>
      </c>
      <c r="G53" s="402" t="e">
        <f t="shared" si="27"/>
        <v>#NUM!</v>
      </c>
      <c r="H53" s="402" t="e">
        <f t="shared" si="27"/>
        <v>#NUM!</v>
      </c>
      <c r="I53" s="402" t="e">
        <f t="shared" si="27"/>
        <v>#NUM!</v>
      </c>
      <c r="J53" s="402" t="e">
        <f t="shared" si="27"/>
        <v>#NUM!</v>
      </c>
      <c r="K53" s="402" t="e">
        <f t="shared" si="27"/>
        <v>#NUM!</v>
      </c>
      <c r="L53" s="402" t="e">
        <f t="shared" si="27"/>
        <v>#NUM!</v>
      </c>
      <c r="M53" s="402" t="e">
        <f t="shared" si="27"/>
        <v>#NUM!</v>
      </c>
      <c r="N53" s="402" t="e">
        <f t="shared" si="27"/>
        <v>#NUM!</v>
      </c>
      <c r="O53" s="402" t="e">
        <f t="shared" si="27"/>
        <v>#NUM!</v>
      </c>
      <c r="P53" s="402">
        <f t="shared" si="27"/>
        <v>26.403767620639126</v>
      </c>
      <c r="Q53" s="402">
        <f t="shared" si="27"/>
        <v>10.012619923026682</v>
      </c>
      <c r="R53" s="403">
        <f t="shared" si="27"/>
        <v>5.9816327485884395</v>
      </c>
      <c r="S53" s="292"/>
      <c r="T53" s="404"/>
      <c r="U53" s="279"/>
      <c r="V53" s="405" t="s">
        <v>236</v>
      </c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</row>
    <row r="54" spans="1:37" ht="21" thickBot="1">
      <c r="A54" s="292"/>
      <c r="B54" s="410"/>
      <c r="C54" s="402">
        <f>ACOS(C53)</f>
        <v>2.9195020347995393</v>
      </c>
      <c r="D54" s="402">
        <f>ACOS(D53)</f>
        <v>2.2058393617920142</v>
      </c>
      <c r="E54" s="402">
        <f>ACOS(E53)</f>
        <v>0.24914925098164886</v>
      </c>
      <c r="F54" s="402" t="e">
        <f t="shared" ref="F54:R54" si="28">ACOS(F53)</f>
        <v>#NUM!</v>
      </c>
      <c r="G54" s="402" t="e">
        <f t="shared" si="28"/>
        <v>#NUM!</v>
      </c>
      <c r="H54" s="402" t="e">
        <f t="shared" si="28"/>
        <v>#NUM!</v>
      </c>
      <c r="I54" s="402" t="e">
        <f t="shared" si="28"/>
        <v>#NUM!</v>
      </c>
      <c r="J54" s="402" t="e">
        <f t="shared" si="28"/>
        <v>#NUM!</v>
      </c>
      <c r="K54" s="402" t="e">
        <f t="shared" si="28"/>
        <v>#NUM!</v>
      </c>
      <c r="L54" s="402" t="e">
        <f t="shared" si="28"/>
        <v>#NUM!</v>
      </c>
      <c r="M54" s="402" t="e">
        <f t="shared" si="28"/>
        <v>#NUM!</v>
      </c>
      <c r="N54" s="402" t="e">
        <f t="shared" si="28"/>
        <v>#NUM!</v>
      </c>
      <c r="O54" s="402" t="e">
        <f t="shared" si="28"/>
        <v>#NUM!</v>
      </c>
      <c r="P54" s="402" t="e">
        <f t="shared" si="28"/>
        <v>#NUM!</v>
      </c>
      <c r="Q54" s="402" t="e">
        <f t="shared" si="28"/>
        <v>#NUM!</v>
      </c>
      <c r="R54" s="403" t="e">
        <f t="shared" si="28"/>
        <v>#NUM!</v>
      </c>
      <c r="S54" s="292"/>
      <c r="T54" s="408"/>
      <c r="U54" s="309"/>
      <c r="V54" s="409" t="s">
        <v>237</v>
      </c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</row>
    <row r="55" spans="1:37" ht="18">
      <c r="A55" s="292"/>
      <c r="B55" s="387" t="s">
        <v>238</v>
      </c>
      <c r="C55" s="398">
        <f t="shared" ref="C55:R55" si="29">IF(C50&gt;=0,C51+C52-C45/3,2*(-C48)^0.5*COS(C54/3)-C45/3)</f>
        <v>-4.3368086899420177E-18</v>
      </c>
      <c r="D55" s="398">
        <f t="shared" si="29"/>
        <v>1.0849748841179523E-3</v>
      </c>
      <c r="E55" s="398">
        <f t="shared" si="29"/>
        <v>1.7467448780845904E-3</v>
      </c>
      <c r="F55" s="398">
        <f t="shared" si="29"/>
        <v>2.3187513331849145E-3</v>
      </c>
      <c r="G55" s="398">
        <f t="shared" si="29"/>
        <v>2.8622862981202194E-3</v>
      </c>
      <c r="H55" s="398">
        <f t="shared" si="29"/>
        <v>3.4037100335678741E-3</v>
      </c>
      <c r="I55" s="398">
        <f t="shared" si="29"/>
        <v>3.9580574395477281E-3</v>
      </c>
      <c r="J55" s="398">
        <f t="shared" si="29"/>
        <v>4.5349245326096049E-3</v>
      </c>
      <c r="K55" s="398">
        <f t="shared" si="29"/>
        <v>5.1402116458437036E-3</v>
      </c>
      <c r="L55" s="398">
        <f t="shared" si="29"/>
        <v>5.7765321571312195E-3</v>
      </c>
      <c r="M55" s="398">
        <f t="shared" si="29"/>
        <v>6.4432700390338231E-3</v>
      </c>
      <c r="N55" s="398">
        <f t="shared" si="29"/>
        <v>7.85107992532234E-3</v>
      </c>
      <c r="O55" s="398">
        <f t="shared" si="29"/>
        <v>9.3116901641934653E-3</v>
      </c>
      <c r="P55" s="398">
        <f t="shared" si="29"/>
        <v>1.0766021534531097E-2</v>
      </c>
      <c r="Q55" s="398">
        <f t="shared" si="29"/>
        <v>1.2169838303014021E-2</v>
      </c>
      <c r="R55" s="399">
        <f t="shared" si="29"/>
        <v>1.3498446961857678E-2</v>
      </c>
      <c r="S55" s="292"/>
      <c r="T55" s="411" t="s">
        <v>239</v>
      </c>
      <c r="U55" s="271"/>
      <c r="V55" s="412" t="s">
        <v>240</v>
      </c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</row>
    <row r="56" spans="1:37" ht="18">
      <c r="A56" s="292"/>
      <c r="B56" s="387" t="s">
        <v>241</v>
      </c>
      <c r="C56" s="402">
        <f t="shared" ref="C56:R56" si="30">IF(C50&gt;0,"", IF(C50=0,-(C51+C52)/2-C45/3, 2*(-C48)^0.5*COS(C54/3+PI()/3*2)-C45/3))</f>
        <v>-1.5256653025988869E-2</v>
      </c>
      <c r="D56" s="402">
        <f t="shared" si="30"/>
        <v>-1.1839414200094048E-2</v>
      </c>
      <c r="E56" s="402">
        <f t="shared" si="30"/>
        <v>-6.866368180762689E-3</v>
      </c>
      <c r="F56" s="402" t="str">
        <f t="shared" si="30"/>
        <v/>
      </c>
      <c r="G56" s="402" t="str">
        <f t="shared" si="30"/>
        <v/>
      </c>
      <c r="H56" s="402" t="str">
        <f t="shared" si="30"/>
        <v/>
      </c>
      <c r="I56" s="402" t="str">
        <f t="shared" si="30"/>
        <v/>
      </c>
      <c r="J56" s="402" t="str">
        <f t="shared" si="30"/>
        <v/>
      </c>
      <c r="K56" s="402" t="str">
        <f t="shared" si="30"/>
        <v/>
      </c>
      <c r="L56" s="402" t="str">
        <f t="shared" si="30"/>
        <v/>
      </c>
      <c r="M56" s="402" t="str">
        <f t="shared" si="30"/>
        <v/>
      </c>
      <c r="N56" s="402" t="str">
        <f t="shared" si="30"/>
        <v/>
      </c>
      <c r="O56" s="402" t="str">
        <f t="shared" si="30"/>
        <v/>
      </c>
      <c r="P56" s="402" t="str">
        <f t="shared" si="30"/>
        <v/>
      </c>
      <c r="Q56" s="402" t="str">
        <f t="shared" si="30"/>
        <v/>
      </c>
      <c r="R56" s="403" t="str">
        <f t="shared" si="30"/>
        <v/>
      </c>
      <c r="S56" s="292"/>
      <c r="T56" s="404" t="s">
        <v>242</v>
      </c>
      <c r="U56" s="279"/>
      <c r="V56" s="413" t="s">
        <v>243</v>
      </c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</row>
    <row r="57" spans="1:37" ht="19" thickBot="1">
      <c r="A57" s="292"/>
      <c r="B57" s="390"/>
      <c r="C57" s="406">
        <f t="shared" ref="C57:R57" si="31">IF(C50&lt;0,2*(-C48)^0.5*COS(C54/3+PI()/3*4)-C45/3,"")</f>
        <v>-1.2529184442278242E-3</v>
      </c>
      <c r="D57" s="406">
        <f t="shared" si="31"/>
        <v>-2.9718712509482813E-3</v>
      </c>
      <c r="E57" s="406">
        <f t="shared" si="31"/>
        <v>-6.076450079435072E-3</v>
      </c>
      <c r="F57" s="406" t="str">
        <f t="shared" si="31"/>
        <v/>
      </c>
      <c r="G57" s="406" t="str">
        <f t="shared" si="31"/>
        <v/>
      </c>
      <c r="H57" s="406" t="str">
        <f t="shared" si="31"/>
        <v/>
      </c>
      <c r="I57" s="406" t="str">
        <f t="shared" si="31"/>
        <v/>
      </c>
      <c r="J57" s="406" t="str">
        <f t="shared" si="31"/>
        <v/>
      </c>
      <c r="K57" s="406" t="str">
        <f t="shared" si="31"/>
        <v/>
      </c>
      <c r="L57" s="406" t="str">
        <f t="shared" si="31"/>
        <v/>
      </c>
      <c r="M57" s="406" t="str">
        <f t="shared" si="31"/>
        <v/>
      </c>
      <c r="N57" s="406" t="str">
        <f t="shared" si="31"/>
        <v/>
      </c>
      <c r="O57" s="406" t="str">
        <f t="shared" si="31"/>
        <v/>
      </c>
      <c r="P57" s="406" t="str">
        <f t="shared" si="31"/>
        <v/>
      </c>
      <c r="Q57" s="406" t="str">
        <f t="shared" si="31"/>
        <v/>
      </c>
      <c r="R57" s="407" t="str">
        <f t="shared" si="31"/>
        <v/>
      </c>
      <c r="S57" s="292"/>
      <c r="T57" s="408"/>
      <c r="U57" s="309"/>
      <c r="V57" s="414" t="s">
        <v>244</v>
      </c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</row>
    <row r="58" spans="1:37">
      <c r="A58" s="292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</row>
    <row r="59" spans="1:37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</row>
    <row r="60" spans="1:37">
      <c r="E60" s="415"/>
    </row>
  </sheetData>
  <phoneticPr fontId="4"/>
  <printOptions headings="1" gridLines="1"/>
  <pageMargins left="0.71" right="0.24000000000000002" top="0.51" bottom="0.24000000000000002" header="0.24000000000000002" footer="0.28000000000000003"/>
  <pageSetup paperSize="9" scale="62" orientation="landscape" horizontalDpi="4294967292" verticalDpi="4294967292"/>
  <headerFooter>
    <oddHeader>&amp;R&amp;F&amp;A</oddHeader>
  </headerFooter>
  <colBreaks count="1" manualBreakCount="1">
    <brk id="11" max="41" man="1"/>
  </colBreaks>
  <drawing r:id="rId1"/>
  <extLst>
    <ext xmlns:mx="http://schemas.microsoft.com/office/mac/excel/2008/main" uri="{64002731-A6B0-56B0-2670-7721B7C09600}">
      <mx:PLV Mode="0" OnePage="0" WScale="9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64"/>
  <sheetViews>
    <sheetView topLeftCell="F1" workbookViewId="0">
      <selection activeCell="Q19" sqref="Q19"/>
    </sheetView>
  </sheetViews>
  <sheetFormatPr baseColWidth="12" defaultColWidth="14.1640625" defaultRowHeight="18" x14ac:dyDescent="0"/>
  <cols>
    <col min="1" max="1" width="3.1640625" style="2" customWidth="1"/>
    <col min="2" max="2" width="10.6640625" style="2" customWidth="1"/>
    <col min="3" max="3" width="28" style="2" customWidth="1"/>
    <col min="4" max="4" width="11.83203125" style="2" bestFit="1" customWidth="1"/>
    <col min="5" max="5" width="19.33203125" style="2" bestFit="1" customWidth="1"/>
    <col min="6" max="7" width="11.5" style="2" customWidth="1"/>
    <col min="8" max="8" width="13.5" style="2" customWidth="1"/>
    <col min="9" max="9" width="11" style="2" customWidth="1"/>
    <col min="10" max="10" width="12.33203125" style="2" customWidth="1"/>
    <col min="11" max="11" width="11.6640625" style="2" customWidth="1"/>
    <col min="12" max="15" width="10.83203125" style="2" bestFit="1" customWidth="1"/>
    <col min="16" max="16" width="9.5" style="2" bestFit="1" customWidth="1"/>
    <col min="17" max="17" width="11" style="2" bestFit="1" customWidth="1"/>
    <col min="18" max="18" width="23.1640625" style="2" customWidth="1"/>
    <col min="19" max="19" width="45.6640625" style="2" bestFit="1" customWidth="1"/>
    <col min="20" max="20" width="13.1640625" style="2" bestFit="1" customWidth="1"/>
    <col min="21" max="16384" width="14.1640625" style="2"/>
  </cols>
  <sheetData>
    <row r="1" spans="1:21" ht="19" thickBot="1">
      <c r="B1" s="248" t="s">
        <v>355</v>
      </c>
      <c r="C1" s="416"/>
      <c r="D1" s="416"/>
      <c r="E1" s="416"/>
      <c r="F1" s="417" t="s">
        <v>115</v>
      </c>
      <c r="G1" s="418"/>
      <c r="H1" s="251"/>
      <c r="I1" s="251"/>
      <c r="J1" s="251"/>
      <c r="K1" s="419"/>
    </row>
    <row r="2" spans="1:21" ht="19">
      <c r="C2" s="248" t="s">
        <v>349</v>
      </c>
      <c r="D2" s="416"/>
      <c r="E2" s="416"/>
      <c r="F2" s="420" t="s">
        <v>245</v>
      </c>
      <c r="G2" s="421" t="s">
        <v>246</v>
      </c>
      <c r="H2" s="421" t="s">
        <v>247</v>
      </c>
      <c r="I2" s="422" t="s">
        <v>248</v>
      </c>
      <c r="J2" s="422" t="s">
        <v>249</v>
      </c>
      <c r="K2" s="423" t="s">
        <v>250</v>
      </c>
    </row>
    <row r="3" spans="1:21">
      <c r="C3" s="248" t="s">
        <v>350</v>
      </c>
      <c r="D3" s="416"/>
      <c r="E3" s="416"/>
      <c r="F3" s="404" t="s">
        <v>251</v>
      </c>
      <c r="G3" s="424">
        <v>2056.7201460858796</v>
      </c>
      <c r="H3" s="424">
        <v>898.52984192875135</v>
      </c>
      <c r="I3" s="258">
        <v>7.7472575082683646</v>
      </c>
      <c r="J3" s="258">
        <v>7.1899275146131636</v>
      </c>
      <c r="K3" s="425">
        <v>7.7316671778641846</v>
      </c>
    </row>
    <row r="4" spans="1:21" ht="19">
      <c r="C4" s="248" t="s">
        <v>351</v>
      </c>
      <c r="D4" s="416"/>
      <c r="E4" s="416"/>
      <c r="F4" s="426" t="s">
        <v>252</v>
      </c>
      <c r="G4" s="427">
        <v>127.20108885130095</v>
      </c>
      <c r="H4" s="427">
        <v>162.28385756405075</v>
      </c>
      <c r="I4" s="263">
        <v>1.2749521010560002E-2</v>
      </c>
      <c r="J4" s="263">
        <v>1.9722007340410071E-2</v>
      </c>
      <c r="K4" s="428"/>
    </row>
    <row r="5" spans="1:21" ht="19" thickBot="1">
      <c r="B5" s="429"/>
      <c r="F5" s="266" t="s">
        <v>253</v>
      </c>
      <c r="G5" s="430">
        <v>0.99977691678312741</v>
      </c>
      <c r="H5" s="430">
        <v>1.3290706243174945E-3</v>
      </c>
      <c r="I5" s="430"/>
      <c r="J5" s="430"/>
      <c r="K5" s="431"/>
    </row>
    <row r="6" spans="1:21" ht="19" thickBot="1">
      <c r="F6" s="432"/>
    </row>
    <row r="7" spans="1:21" ht="19" thickBot="1">
      <c r="A7" s="432"/>
      <c r="B7" s="270" t="s">
        <v>254</v>
      </c>
      <c r="C7" s="271"/>
      <c r="D7" s="272"/>
      <c r="E7" s="273" t="s">
        <v>124</v>
      </c>
      <c r="F7" s="274" t="s">
        <v>125</v>
      </c>
      <c r="G7" s="275" t="s">
        <v>126</v>
      </c>
      <c r="H7" s="276" t="s">
        <v>255</v>
      </c>
      <c r="I7" s="275"/>
      <c r="J7" s="277" t="s">
        <v>256</v>
      </c>
      <c r="K7" s="272"/>
    </row>
    <row r="8" spans="1:21" ht="19" thickBot="1">
      <c r="A8" s="432"/>
      <c r="B8" s="278" t="s">
        <v>257</v>
      </c>
      <c r="C8" s="279"/>
      <c r="D8" s="280"/>
      <c r="E8" s="281" t="s">
        <v>258</v>
      </c>
      <c r="F8" s="433" t="s">
        <v>259</v>
      </c>
      <c r="G8" s="434" t="s">
        <v>260</v>
      </c>
      <c r="H8" s="281" t="s">
        <v>261</v>
      </c>
      <c r="I8" s="435">
        <v>600</v>
      </c>
      <c r="J8" s="421" t="s">
        <v>246</v>
      </c>
      <c r="K8" s="436">
        <v>85.253627721421381</v>
      </c>
      <c r="M8" s="437"/>
      <c r="Q8" s="432"/>
      <c r="U8" s="432"/>
    </row>
    <row r="9" spans="1:21">
      <c r="A9" s="432"/>
      <c r="B9" s="278" t="s">
        <v>262</v>
      </c>
      <c r="C9" s="279"/>
      <c r="D9" s="280"/>
      <c r="E9" s="286" t="s">
        <v>136</v>
      </c>
      <c r="F9" s="438">
        <v>10.34</v>
      </c>
      <c r="G9" s="439">
        <v>31.25</v>
      </c>
      <c r="H9" s="286" t="s">
        <v>263</v>
      </c>
      <c r="I9" s="440">
        <v>-20</v>
      </c>
      <c r="J9" s="441" t="s">
        <v>264</v>
      </c>
      <c r="K9" s="442">
        <v>439.3796872505327</v>
      </c>
      <c r="M9" s="443">
        <v>2056.7201460858796</v>
      </c>
      <c r="N9" s="436">
        <v>2057.7826749872784</v>
      </c>
      <c r="Q9" s="432"/>
      <c r="U9" s="432"/>
    </row>
    <row r="10" spans="1:21" ht="20" thickBot="1">
      <c r="A10" s="432"/>
      <c r="B10" s="293" t="s">
        <v>265</v>
      </c>
      <c r="C10" s="279"/>
      <c r="D10" s="280"/>
      <c r="E10" s="286" t="s">
        <v>140</v>
      </c>
      <c r="F10" s="438">
        <v>591.09</v>
      </c>
      <c r="G10" s="439">
        <v>312.3</v>
      </c>
      <c r="H10" s="297" t="s">
        <v>266</v>
      </c>
      <c r="I10" s="298" t="s">
        <v>148</v>
      </c>
      <c r="J10" s="444" t="s">
        <v>267</v>
      </c>
      <c r="K10" s="445">
        <v>5.9931351768347128</v>
      </c>
      <c r="M10" s="446">
        <v>898.52984192875135</v>
      </c>
      <c r="N10" s="442">
        <v>894.17226932006031</v>
      </c>
      <c r="Q10" s="432"/>
      <c r="U10" s="432"/>
    </row>
    <row r="11" spans="1:21" ht="20" thickBot="1">
      <c r="A11" s="432"/>
      <c r="B11" s="293" t="s">
        <v>268</v>
      </c>
      <c r="C11" s="279"/>
      <c r="D11" s="280"/>
      <c r="E11" s="286" t="s">
        <v>144</v>
      </c>
      <c r="F11" s="438" t="s">
        <v>269</v>
      </c>
      <c r="G11" s="439" t="s">
        <v>269</v>
      </c>
      <c r="J11" s="447" t="s">
        <v>270</v>
      </c>
      <c r="K11" s="445">
        <v>5.9827083456408392</v>
      </c>
      <c r="M11" s="448">
        <v>7.7472575082683646</v>
      </c>
      <c r="N11" s="445">
        <v>7.7468130807552251</v>
      </c>
      <c r="Q11" s="432"/>
      <c r="U11" s="432"/>
    </row>
    <row r="12" spans="1:21" ht="20" thickBot="1">
      <c r="A12" s="432"/>
      <c r="B12" s="301" t="s">
        <v>271</v>
      </c>
      <c r="C12" s="279"/>
      <c r="D12" s="280"/>
      <c r="E12" s="286" t="s">
        <v>151</v>
      </c>
      <c r="F12" s="438">
        <v>2000</v>
      </c>
      <c r="G12" s="439">
        <v>2000</v>
      </c>
      <c r="J12" s="449" t="s">
        <v>272</v>
      </c>
      <c r="K12" s="450">
        <v>6.7448380161300534</v>
      </c>
      <c r="M12" s="448">
        <v>7.1899275146131636</v>
      </c>
      <c r="N12" s="445">
        <v>7.1894626835740798</v>
      </c>
      <c r="Q12" s="432"/>
      <c r="R12" s="628" t="s">
        <v>339</v>
      </c>
      <c r="S12" s="632"/>
      <c r="T12" s="633"/>
      <c r="U12" s="432"/>
    </row>
    <row r="13" spans="1:21" ht="19" thickBot="1">
      <c r="A13" s="432"/>
      <c r="B13" s="308" t="s">
        <v>273</v>
      </c>
      <c r="C13" s="309"/>
      <c r="D13" s="310"/>
      <c r="E13" s="286" t="s">
        <v>154</v>
      </c>
      <c r="F13" s="289">
        <v>0.64800000000000002</v>
      </c>
      <c r="G13" s="451">
        <v>1</v>
      </c>
      <c r="J13" s="452" t="s">
        <v>149</v>
      </c>
      <c r="K13" s="453">
        <f>P33</f>
        <v>109.20698348995613</v>
      </c>
      <c r="M13" s="454">
        <v>14.131429795389558</v>
      </c>
      <c r="N13" s="455">
        <v>14.137919276819702</v>
      </c>
      <c r="Q13" s="432"/>
      <c r="R13" s="629" t="s">
        <v>340</v>
      </c>
      <c r="S13" s="634"/>
      <c r="T13" s="635"/>
      <c r="U13" s="432"/>
    </row>
    <row r="14" spans="1:21" ht="20" thickBot="1">
      <c r="A14" s="432"/>
      <c r="B14" s="432"/>
      <c r="C14" s="432"/>
      <c r="D14" s="432"/>
      <c r="E14" s="297" t="s">
        <v>155</v>
      </c>
      <c r="F14" s="315">
        <f>F9/F10/1000/F12*1000000*F13</f>
        <v>5.667766330000509E-3</v>
      </c>
      <c r="G14" s="316">
        <f>G9/G10/1000/G12*1000000*G13</f>
        <v>5.0032020493115593E-2</v>
      </c>
      <c r="J14" s="456" t="s">
        <v>274</v>
      </c>
      <c r="K14" s="457">
        <f>K10-D19</f>
        <v>-0.5606648231652871</v>
      </c>
      <c r="Q14" s="432"/>
      <c r="R14" s="630" t="s">
        <v>338</v>
      </c>
      <c r="S14" s="636"/>
      <c r="T14" s="637"/>
      <c r="U14" s="432"/>
    </row>
    <row r="15" spans="1:21" ht="20" thickBot="1">
      <c r="A15" s="432"/>
      <c r="J15" s="458" t="s">
        <v>275</v>
      </c>
      <c r="K15" s="304">
        <f>K11-D19</f>
        <v>-0.57109165435916065</v>
      </c>
      <c r="Q15" s="432"/>
      <c r="R15" s="630" t="s">
        <v>358</v>
      </c>
      <c r="S15" s="636"/>
      <c r="T15" s="637"/>
      <c r="U15" s="432"/>
    </row>
    <row r="16" spans="1:21" ht="19" thickBot="1">
      <c r="A16" s="432"/>
      <c r="B16" s="432"/>
      <c r="C16" s="459"/>
      <c r="D16" s="459"/>
      <c r="E16" s="460"/>
      <c r="F16" s="96"/>
      <c r="G16" s="461"/>
      <c r="H16" s="432"/>
      <c r="J16" s="25"/>
      <c r="K16" s="25"/>
      <c r="Q16" s="432"/>
      <c r="R16" s="630" t="s">
        <v>357</v>
      </c>
      <c r="S16" s="638"/>
      <c r="T16" s="639"/>
      <c r="U16" s="432"/>
    </row>
    <row r="17" spans="1:21" ht="19" thickBot="1">
      <c r="A17" s="432"/>
      <c r="B17" s="462"/>
      <c r="C17" s="463" t="s">
        <v>276</v>
      </c>
      <c r="D17" s="464">
        <v>1</v>
      </c>
      <c r="E17" s="465">
        <v>2</v>
      </c>
      <c r="F17" s="466">
        <v>3</v>
      </c>
      <c r="G17" s="466">
        <v>4</v>
      </c>
      <c r="H17" s="465">
        <v>5</v>
      </c>
      <c r="I17" s="466">
        <v>6</v>
      </c>
      <c r="J17" s="466">
        <v>7</v>
      </c>
      <c r="K17" s="466">
        <v>8</v>
      </c>
      <c r="L17" s="466">
        <v>9</v>
      </c>
      <c r="M17" s="466">
        <v>10</v>
      </c>
      <c r="N17" s="466">
        <v>11</v>
      </c>
      <c r="O17" s="467">
        <v>12</v>
      </c>
      <c r="Q17" s="432"/>
      <c r="R17" s="631" t="s">
        <v>342</v>
      </c>
      <c r="S17" s="640"/>
      <c r="T17" s="641"/>
      <c r="U17" s="432"/>
    </row>
    <row r="18" spans="1:21" ht="19" thickBot="1">
      <c r="A18" s="432"/>
      <c r="B18" s="468"/>
      <c r="C18" s="463" t="s">
        <v>277</v>
      </c>
      <c r="D18" s="469">
        <v>1</v>
      </c>
      <c r="E18" s="470">
        <v>10</v>
      </c>
      <c r="F18" s="470">
        <v>20</v>
      </c>
      <c r="G18" s="470">
        <v>30</v>
      </c>
      <c r="H18" s="470">
        <v>40</v>
      </c>
      <c r="I18" s="470">
        <v>50</v>
      </c>
      <c r="J18" s="470">
        <v>60</v>
      </c>
      <c r="K18" s="470">
        <v>80</v>
      </c>
      <c r="L18" s="470">
        <v>100</v>
      </c>
      <c r="M18" s="470">
        <v>130</v>
      </c>
      <c r="N18" s="470">
        <v>160</v>
      </c>
      <c r="O18" s="471">
        <v>200</v>
      </c>
      <c r="Q18" s="432"/>
      <c r="R18" s="432"/>
      <c r="S18" s="432"/>
      <c r="T18" s="432"/>
      <c r="U18" s="432"/>
    </row>
    <row r="19" spans="1:21" ht="19" thickBot="1">
      <c r="A19" s="432"/>
      <c r="B19" s="432"/>
      <c r="C19" s="472" t="s">
        <v>278</v>
      </c>
      <c r="D19" s="473">
        <v>6.5537999999999998</v>
      </c>
      <c r="E19" s="474">
        <v>6.4623999999999997</v>
      </c>
      <c r="F19" s="474">
        <v>6.4135999999999997</v>
      </c>
      <c r="G19" s="474">
        <v>6.3937999999999997</v>
      </c>
      <c r="H19" s="474">
        <v>6.3992000000000004</v>
      </c>
      <c r="I19" s="474">
        <v>6.4236000000000004</v>
      </c>
      <c r="J19" s="474">
        <v>6.4489000000000001</v>
      </c>
      <c r="K19" s="474">
        <v>6.4931999999999999</v>
      </c>
      <c r="L19" s="474">
        <v>6.5256999999999996</v>
      </c>
      <c r="M19" s="474">
        <v>6.5617999999999999</v>
      </c>
      <c r="N19" s="474">
        <v>6.5872000000000002</v>
      </c>
      <c r="O19" s="475">
        <v>6.6143000000000001</v>
      </c>
      <c r="Q19" s="432"/>
      <c r="R19" s="305" t="s">
        <v>341</v>
      </c>
      <c r="S19" s="306"/>
      <c r="T19" s="307"/>
      <c r="U19" s="432"/>
    </row>
    <row r="20" spans="1:21">
      <c r="A20" s="432"/>
      <c r="B20" s="432"/>
      <c r="C20" s="476" t="s">
        <v>279</v>
      </c>
      <c r="D20" s="477">
        <f t="shared" ref="D20:O20" si="0">$I$8*$F$14/($I$8+D18)</f>
        <v>5.6583357703832039E-3</v>
      </c>
      <c r="E20" s="478">
        <f t="shared" si="0"/>
        <v>5.5748521278693531E-3</v>
      </c>
      <c r="F20" s="478">
        <f t="shared" si="0"/>
        <v>5.4849351580650088E-3</v>
      </c>
      <c r="G20" s="478">
        <f t="shared" si="0"/>
        <v>5.39787269523858E-3</v>
      </c>
      <c r="H20" s="478">
        <f t="shared" si="0"/>
        <v>5.3135309343754775E-3</v>
      </c>
      <c r="I20" s="478">
        <f t="shared" si="0"/>
        <v>5.2317843046158548E-3</v>
      </c>
      <c r="J20" s="478">
        <f t="shared" si="0"/>
        <v>5.1525148454550085E-3</v>
      </c>
      <c r="K20" s="478">
        <f t="shared" si="0"/>
        <v>5.0009702911769198E-3</v>
      </c>
      <c r="L20" s="478">
        <f t="shared" si="0"/>
        <v>4.858085425714722E-3</v>
      </c>
      <c r="M20" s="478">
        <f t="shared" si="0"/>
        <v>4.6584380794524732E-3</v>
      </c>
      <c r="N20" s="478">
        <f t="shared" si="0"/>
        <v>4.4745523657898755E-3</v>
      </c>
      <c r="O20" s="479">
        <f t="shared" si="0"/>
        <v>4.2508247475003822E-3</v>
      </c>
      <c r="Q20" s="432"/>
      <c r="R20" s="480"/>
      <c r="S20" s="481" t="s">
        <v>280</v>
      </c>
      <c r="T20" s="482"/>
      <c r="U20" s="432"/>
    </row>
    <row r="21" spans="1:21">
      <c r="A21" s="432"/>
      <c r="B21" s="432"/>
      <c r="C21" s="483" t="s">
        <v>281</v>
      </c>
      <c r="D21" s="484">
        <f t="shared" ref="D21:O21" si="1">D18*$G$14/($I$8+D18)</f>
        <v>8.3247954231473539E-5</v>
      </c>
      <c r="E21" s="485">
        <f t="shared" si="1"/>
        <v>8.2019705726419007E-4</v>
      </c>
      <c r="F21" s="485">
        <f t="shared" si="1"/>
        <v>1.6139361449392126E-3</v>
      </c>
      <c r="G21" s="485">
        <f t="shared" si="1"/>
        <v>2.3824771663388377E-3</v>
      </c>
      <c r="H21" s="485">
        <f t="shared" si="1"/>
        <v>3.1270012808197246E-3</v>
      </c>
      <c r="I21" s="485">
        <f t="shared" si="1"/>
        <v>3.8486169610088918E-3</v>
      </c>
      <c r="J21" s="485">
        <f t="shared" si="1"/>
        <v>4.5483654993741449E-3</v>
      </c>
      <c r="K21" s="485">
        <f t="shared" si="1"/>
        <v>5.886120058013599E-3</v>
      </c>
      <c r="L21" s="485">
        <f t="shared" si="1"/>
        <v>7.1474314990165131E-3</v>
      </c>
      <c r="M21" s="485">
        <f t="shared" si="1"/>
        <v>8.9098118686370235E-3</v>
      </c>
      <c r="N21" s="485">
        <f t="shared" si="1"/>
        <v>1.0533056945919071E-2</v>
      </c>
      <c r="O21" s="486">
        <f t="shared" si="1"/>
        <v>1.2508005123278898E-2</v>
      </c>
      <c r="Q21" s="432"/>
      <c r="R21" s="487"/>
      <c r="S21" s="488" t="s">
        <v>282</v>
      </c>
      <c r="T21" s="489"/>
      <c r="U21" s="432"/>
    </row>
    <row r="22" spans="1:21" ht="19" thickBot="1">
      <c r="A22" s="432"/>
      <c r="B22" s="432"/>
      <c r="C22" s="490" t="s">
        <v>283</v>
      </c>
      <c r="D22" s="491">
        <f t="shared" ref="D22:O22" si="2">D21/D20</f>
        <v>1.4712445073904774E-2</v>
      </c>
      <c r="E22" s="492">
        <f t="shared" si="2"/>
        <v>0.14712445073904773</v>
      </c>
      <c r="F22" s="493">
        <f t="shared" si="2"/>
        <v>0.29424890147809546</v>
      </c>
      <c r="G22" s="493">
        <f t="shared" si="2"/>
        <v>0.44137335221714319</v>
      </c>
      <c r="H22" s="493">
        <f t="shared" si="2"/>
        <v>0.58849780295619092</v>
      </c>
      <c r="I22" s="493">
        <f t="shared" si="2"/>
        <v>0.73562225369523859</v>
      </c>
      <c r="J22" s="493">
        <f t="shared" si="2"/>
        <v>0.88274670443428638</v>
      </c>
      <c r="K22" s="493">
        <f t="shared" si="2"/>
        <v>1.1769956059123818</v>
      </c>
      <c r="L22" s="493">
        <f t="shared" si="2"/>
        <v>1.4712445073904772</v>
      </c>
      <c r="M22" s="493">
        <f t="shared" si="2"/>
        <v>1.9126178596076204</v>
      </c>
      <c r="N22" s="493">
        <f t="shared" si="2"/>
        <v>2.3539912118247632</v>
      </c>
      <c r="O22" s="494">
        <f t="shared" si="2"/>
        <v>2.9424890147809544</v>
      </c>
      <c r="Q22" s="432"/>
      <c r="R22" s="487"/>
      <c r="S22" s="488" t="s">
        <v>284</v>
      </c>
      <c r="T22" s="489"/>
      <c r="U22" s="432"/>
    </row>
    <row r="23" spans="1:21">
      <c r="A23" s="432"/>
      <c r="B23" s="432"/>
      <c r="C23" s="495" t="s">
        <v>285</v>
      </c>
      <c r="D23" s="496">
        <f t="shared" ref="D23:O23" si="3">$K$8*(2*$K$9*D21-$K$9*D20+1)/($K$8*$K$9)</f>
        <v>-3.2159039708971396E-3</v>
      </c>
      <c r="E23" s="497">
        <f t="shared" si="3"/>
        <v>-1.658522122317855E-3</v>
      </c>
      <c r="F23" s="497">
        <f t="shared" si="3"/>
        <v>1.8873022836534154E-5</v>
      </c>
      <c r="G23" s="497">
        <f t="shared" si="3"/>
        <v>1.6430175284622129E-3</v>
      </c>
      <c r="H23" s="497">
        <f t="shared" si="3"/>
        <v>3.2164075182870896E-3</v>
      </c>
      <c r="I23" s="497">
        <f t="shared" si="3"/>
        <v>4.7413855084250476E-3</v>
      </c>
      <c r="J23" s="497">
        <f t="shared" si="3"/>
        <v>6.2201520443163991E-3</v>
      </c>
      <c r="K23" s="497">
        <f t="shared" si="3"/>
        <v>9.0472057158733979E-3</v>
      </c>
      <c r="L23" s="497">
        <f t="shared" si="3"/>
        <v>1.1712713463341422E-2</v>
      </c>
      <c r="M23" s="497">
        <f t="shared" si="3"/>
        <v>1.5437121548844692E-2</v>
      </c>
      <c r="N23" s="497">
        <f t="shared" si="3"/>
        <v>1.8867497417071385E-2</v>
      </c>
      <c r="O23" s="498">
        <f t="shared" si="3"/>
        <v>2.3041121390080532E-2</v>
      </c>
      <c r="Q23" s="432"/>
      <c r="R23" s="411" t="s">
        <v>168</v>
      </c>
      <c r="S23" s="499" t="s">
        <v>286</v>
      </c>
      <c r="T23" s="482"/>
      <c r="U23" s="432"/>
    </row>
    <row r="24" spans="1:21">
      <c r="A24" s="432"/>
      <c r="B24" s="432"/>
      <c r="C24" s="500"/>
      <c r="D24" s="496">
        <f t="shared" ref="D24:O24" si="4">(1-$K$8*D21+$K$8*D20)/($K$8*$K$9)</f>
        <v>3.9384601637116931E-5</v>
      </c>
      <c r="E24" s="497">
        <f t="shared" si="4"/>
        <v>3.7517349305356863E-5</v>
      </c>
      <c r="F24" s="497">
        <f t="shared" si="4"/>
        <v>3.5506204768819578E-5</v>
      </c>
      <c r="G24" s="497">
        <f t="shared" si="4"/>
        <v>3.3558906090585076E-5</v>
      </c>
      <c r="H24" s="497">
        <f t="shared" si="4"/>
        <v>3.1672460496045394E-5</v>
      </c>
      <c r="I24" s="497">
        <f t="shared" si="4"/>
        <v>2.9844059381337705E-5</v>
      </c>
      <c r="J24" s="497">
        <f t="shared" si="4"/>
        <v>2.8071064361015099E-5</v>
      </c>
      <c r="K24" s="497">
        <f t="shared" si="4"/>
        <v>2.4681515057457171E-5</v>
      </c>
      <c r="L24" s="497">
        <f t="shared" si="4"/>
        <v>2.1485654285531124E-5</v>
      </c>
      <c r="M24" s="497">
        <f t="shared" si="4"/>
        <v>1.7020204987771447E-5</v>
      </c>
      <c r="N24" s="497">
        <f t="shared" si="4"/>
        <v>1.2907291160887531E-5</v>
      </c>
      <c r="O24" s="498">
        <f t="shared" si="4"/>
        <v>7.903246004845435E-6</v>
      </c>
      <c r="Q24" s="432"/>
      <c r="R24" s="501" t="s">
        <v>287</v>
      </c>
      <c r="S24" s="502" t="s">
        <v>288</v>
      </c>
      <c r="T24" s="489"/>
      <c r="U24" s="432"/>
    </row>
    <row r="25" spans="1:21" ht="19" thickBot="1">
      <c r="A25" s="432"/>
      <c r="B25" s="432"/>
      <c r="C25" s="500"/>
      <c r="D25" s="496">
        <f t="shared" ref="D25:O25" si="5">-D21/($K$8*$K$9)</f>
        <v>-2.2223923128382461E-9</v>
      </c>
      <c r="E25" s="497">
        <f t="shared" si="5"/>
        <v>-2.1896029180586652E-8</v>
      </c>
      <c r="F25" s="497">
        <f t="shared" si="5"/>
        <v>-4.308573483921889E-8</v>
      </c>
      <c r="G25" s="497">
        <f t="shared" si="5"/>
        <v>-6.3602751429323136E-8</v>
      </c>
      <c r="H25" s="497">
        <f t="shared" si="5"/>
        <v>-8.3478611250986617E-8</v>
      </c>
      <c r="I25" s="497">
        <f t="shared" si="5"/>
        <v>-1.0274290615506044E-7</v>
      </c>
      <c r="J25" s="497">
        <f t="shared" si="5"/>
        <v>-1.2142343454688963E-7</v>
      </c>
      <c r="K25" s="497">
        <f t="shared" si="5"/>
        <v>-1.5713620941362186E-7</v>
      </c>
      <c r="L25" s="497">
        <f t="shared" si="5"/>
        <v>-1.9080825428796938E-7</v>
      </c>
      <c r="M25" s="497">
        <f t="shared" si="5"/>
        <v>-2.3785686493431802E-7</v>
      </c>
      <c r="N25" s="497">
        <f t="shared" si="5"/>
        <v>-2.8119111158227067E-7</v>
      </c>
      <c r="O25" s="498">
        <f t="shared" si="5"/>
        <v>-3.3391444500394647E-7</v>
      </c>
      <c r="Q25" s="432"/>
      <c r="R25" s="503"/>
      <c r="S25" s="504" t="s">
        <v>289</v>
      </c>
      <c r="T25" s="505"/>
      <c r="U25" s="432"/>
    </row>
    <row r="26" spans="1:21" ht="19" thickBot="1">
      <c r="A26" s="432"/>
      <c r="B26" s="432"/>
      <c r="C26" s="506" t="s">
        <v>290</v>
      </c>
      <c r="D26" s="507">
        <f>D55</f>
        <v>5.6685700426301706E-5</v>
      </c>
      <c r="E26" s="508">
        <f t="shared" ref="E26:O26" si="6">E55</f>
        <v>5.9362643362095813E-4</v>
      </c>
      <c r="F26" s="508">
        <f t="shared" si="6"/>
        <v>1.1678821217707071E-3</v>
      </c>
      <c r="G26" s="508">
        <f t="shared" si="6"/>
        <v>1.6343835962834741E-3</v>
      </c>
      <c r="H26" s="508">
        <f t="shared" si="6"/>
        <v>1.9870266431292914E-3</v>
      </c>
      <c r="I26" s="508">
        <f t="shared" si="6"/>
        <v>2.2530101837805365E-3</v>
      </c>
      <c r="J26" s="508">
        <f t="shared" si="6"/>
        <v>2.4579141857017099E-3</v>
      </c>
      <c r="K26" s="508">
        <f t="shared" si="6"/>
        <v>2.7504702109674845E-3</v>
      </c>
      <c r="L26" s="508">
        <f t="shared" si="6"/>
        <v>2.9484855209065022E-3</v>
      </c>
      <c r="M26" s="508">
        <f t="shared" si="6"/>
        <v>3.1486980388465199E-3</v>
      </c>
      <c r="N26" s="508">
        <f t="shared" si="6"/>
        <v>3.283451949936839E-3</v>
      </c>
      <c r="O26" s="509">
        <f t="shared" si="6"/>
        <v>3.4069377951804671E-3</v>
      </c>
      <c r="Q26" s="432"/>
      <c r="R26" s="501" t="s">
        <v>291</v>
      </c>
      <c r="S26" s="502" t="s">
        <v>292</v>
      </c>
      <c r="T26" s="489" t="s">
        <v>293</v>
      </c>
      <c r="U26" s="432"/>
    </row>
    <row r="27" spans="1:21">
      <c r="A27" s="432"/>
      <c r="B27" s="432"/>
      <c r="C27" s="510" t="s">
        <v>294</v>
      </c>
      <c r="D27" s="511">
        <f t="shared" ref="D27:O27" si="7">$K$8*D20*D26/(1+$K$8*D26+$K$8*$K$9*D26^2)</f>
        <v>2.7210049906206221E-5</v>
      </c>
      <c r="E27" s="512">
        <f t="shared" si="7"/>
        <v>2.6521360801615921E-4</v>
      </c>
      <c r="F27" s="512">
        <f t="shared" si="7"/>
        <v>4.7461027335694752E-4</v>
      </c>
      <c r="G27" s="512">
        <f t="shared" si="7"/>
        <v>6.068466899640764E-4</v>
      </c>
      <c r="H27" s="512">
        <f t="shared" si="7"/>
        <v>6.8330652392327841E-4</v>
      </c>
      <c r="I27" s="512">
        <f t="shared" si="7"/>
        <v>7.2702400860923848E-4</v>
      </c>
      <c r="J27" s="512">
        <f t="shared" si="7"/>
        <v>7.5195295695413102E-4</v>
      </c>
      <c r="K27" s="512">
        <f t="shared" si="7"/>
        <v>7.7257503040137441E-4</v>
      </c>
      <c r="L27" s="512">
        <f t="shared" si="7"/>
        <v>7.7435501398723651E-4</v>
      </c>
      <c r="M27" s="512">
        <f t="shared" si="7"/>
        <v>7.6258700928594865E-4</v>
      </c>
      <c r="N27" s="512">
        <f t="shared" si="7"/>
        <v>7.4389250438310962E-4</v>
      </c>
      <c r="O27" s="513">
        <f t="shared" si="7"/>
        <v>7.156478419476503E-4</v>
      </c>
      <c r="Q27" s="432"/>
      <c r="R27" s="480" t="s">
        <v>294</v>
      </c>
      <c r="S27" s="499" t="s">
        <v>295</v>
      </c>
      <c r="T27" s="482"/>
      <c r="U27" s="432"/>
    </row>
    <row r="28" spans="1:21">
      <c r="A28" s="432"/>
      <c r="B28" s="432"/>
      <c r="C28" s="514" t="s">
        <v>296</v>
      </c>
      <c r="D28" s="515">
        <f t="shared" ref="D28:O28" si="8">$K$9*D26*D27</f>
        <v>6.7770834128133073E-7</v>
      </c>
      <c r="E28" s="516">
        <f t="shared" si="8"/>
        <v>6.9174974961006119E-5</v>
      </c>
      <c r="F28" s="516">
        <f t="shared" si="8"/>
        <v>2.4354326290496422E-4</v>
      </c>
      <c r="G28" s="516">
        <f t="shared" si="8"/>
        <v>4.3578568247383694E-4</v>
      </c>
      <c r="H28" s="516">
        <f t="shared" si="8"/>
        <v>5.965670095607387E-4</v>
      </c>
      <c r="I28" s="516">
        <f t="shared" si="8"/>
        <v>7.1970063028147261E-4</v>
      </c>
      <c r="J28" s="516">
        <f t="shared" si="8"/>
        <v>8.1207728529077996E-4</v>
      </c>
      <c r="K28" s="516">
        <f t="shared" si="8"/>
        <v>9.3365749678521806E-4</v>
      </c>
      <c r="L28" s="516">
        <f t="shared" si="8"/>
        <v>1.0031805183037677E-3</v>
      </c>
      <c r="M28" s="516">
        <f t="shared" si="8"/>
        <v>1.055019269241846E-3</v>
      </c>
      <c r="N28" s="516">
        <f t="shared" si="8"/>
        <v>1.0732003936025235E-3</v>
      </c>
      <c r="O28" s="517">
        <f t="shared" si="8"/>
        <v>1.0712813530414252E-3</v>
      </c>
      <c r="Q28" s="432"/>
      <c r="R28" s="487" t="s">
        <v>297</v>
      </c>
      <c r="S28" s="502" t="s">
        <v>298</v>
      </c>
      <c r="T28" s="489" t="s">
        <v>299</v>
      </c>
      <c r="U28" s="432"/>
    </row>
    <row r="29" spans="1:21" ht="19" thickBot="1">
      <c r="A29" s="432"/>
      <c r="B29" s="432"/>
      <c r="C29" s="514" t="s">
        <v>300</v>
      </c>
      <c r="D29" s="518">
        <f t="shared" ref="D29:O29" si="9">D27/D26/$K$8</f>
        <v>5.6304480121357166E-3</v>
      </c>
      <c r="E29" s="519">
        <f t="shared" si="9"/>
        <v>5.2404635448921886E-3</v>
      </c>
      <c r="F29" s="519">
        <f t="shared" si="9"/>
        <v>4.766781621803098E-3</v>
      </c>
      <c r="G29" s="519">
        <f t="shared" si="9"/>
        <v>4.3552403228006662E-3</v>
      </c>
      <c r="H29" s="519">
        <f t="shared" si="9"/>
        <v>4.0336574008914602E-3</v>
      </c>
      <c r="I29" s="519">
        <f t="shared" si="9"/>
        <v>3.7850596657251442E-3</v>
      </c>
      <c r="J29" s="519">
        <f t="shared" si="9"/>
        <v>3.5884846032100976E-3</v>
      </c>
      <c r="K29" s="519">
        <f t="shared" si="9"/>
        <v>3.2947377639903279E-3</v>
      </c>
      <c r="L29" s="519">
        <f t="shared" si="9"/>
        <v>3.080549893423718E-3</v>
      </c>
      <c r="M29" s="519">
        <f t="shared" si="9"/>
        <v>2.8408318009246788E-3</v>
      </c>
      <c r="N29" s="519">
        <f t="shared" si="9"/>
        <v>2.6574594678042424E-3</v>
      </c>
      <c r="O29" s="520">
        <f t="shared" si="9"/>
        <v>2.4638955525113069E-3</v>
      </c>
      <c r="Q29" s="432"/>
      <c r="R29" s="487" t="s">
        <v>301</v>
      </c>
      <c r="S29" s="502" t="s">
        <v>302</v>
      </c>
      <c r="T29" s="489"/>
      <c r="U29" s="432"/>
    </row>
    <row r="30" spans="1:21">
      <c r="A30" s="432"/>
      <c r="B30" s="432"/>
      <c r="C30" s="521" t="s">
        <v>303</v>
      </c>
      <c r="D30" s="522">
        <f t="shared" ref="D30:O30" si="10">(D27*$K$14+2*D28*$K$15)/D21</f>
        <v>-0.19255470146450859</v>
      </c>
      <c r="E30" s="523">
        <f t="shared" si="10"/>
        <v>-0.2776240665632273</v>
      </c>
      <c r="F30" s="523">
        <f t="shared" si="10"/>
        <v>-0.33723040191621018</v>
      </c>
      <c r="G30" s="523">
        <f t="shared" si="10"/>
        <v>-0.35172833412918791</v>
      </c>
      <c r="H30" s="523">
        <f t="shared" si="10"/>
        <v>-0.3404203313841816</v>
      </c>
      <c r="I30" s="523">
        <f t="shared" si="10"/>
        <v>-0.31950356371215127</v>
      </c>
      <c r="J30" s="523">
        <f t="shared" si="10"/>
        <v>-0.29661967413862383</v>
      </c>
      <c r="K30" s="523">
        <f t="shared" si="10"/>
        <v>-0.25476266826194666</v>
      </c>
      <c r="L30" s="523">
        <f t="shared" si="10"/>
        <v>-0.22105418720552539</v>
      </c>
      <c r="M30" s="523">
        <f t="shared" si="10"/>
        <v>-0.18323407210880116</v>
      </c>
      <c r="N30" s="523">
        <f t="shared" si="10"/>
        <v>-0.15597237766223088</v>
      </c>
      <c r="O30" s="524">
        <f t="shared" si="10"/>
        <v>-0.12990386837268517</v>
      </c>
      <c r="Q30" s="432"/>
      <c r="R30" s="525" t="s">
        <v>304</v>
      </c>
      <c r="S30" s="526" t="s">
        <v>305</v>
      </c>
      <c r="T30" s="482"/>
      <c r="U30" s="432"/>
    </row>
    <row r="31" spans="1:21">
      <c r="A31" s="432"/>
      <c r="B31" s="432"/>
      <c r="C31" s="527" t="s">
        <v>306</v>
      </c>
      <c r="D31" s="528">
        <f t="shared" ref="D31:O31" si="11">D19-$K$12</f>
        <v>-0.19103801613005356</v>
      </c>
      <c r="E31" s="529">
        <f t="shared" si="11"/>
        <v>-0.2824380161300537</v>
      </c>
      <c r="F31" s="529">
        <f t="shared" si="11"/>
        <v>-0.33123801613005366</v>
      </c>
      <c r="G31" s="529">
        <f t="shared" si="11"/>
        <v>-0.3510380161300537</v>
      </c>
      <c r="H31" s="529">
        <f t="shared" si="11"/>
        <v>-0.34563801613005296</v>
      </c>
      <c r="I31" s="529">
        <f t="shared" si="11"/>
        <v>-0.32123801613005298</v>
      </c>
      <c r="J31" s="529">
        <f t="shared" si="11"/>
        <v>-0.29593801613005333</v>
      </c>
      <c r="K31" s="529">
        <f t="shared" si="11"/>
        <v>-0.25163801613005354</v>
      </c>
      <c r="L31" s="529">
        <f t="shared" si="11"/>
        <v>-0.21913801613005379</v>
      </c>
      <c r="M31" s="529">
        <f t="shared" si="11"/>
        <v>-0.18303801613005355</v>
      </c>
      <c r="N31" s="529">
        <f t="shared" si="11"/>
        <v>-0.15763801613005324</v>
      </c>
      <c r="O31" s="530">
        <f t="shared" si="11"/>
        <v>-0.13053801613005334</v>
      </c>
      <c r="Q31" s="432"/>
      <c r="R31" s="531" t="s">
        <v>307</v>
      </c>
      <c r="S31" s="532" t="s">
        <v>308</v>
      </c>
      <c r="T31" s="489"/>
      <c r="U31" s="432"/>
    </row>
    <row r="32" spans="1:21" ht="19" thickBot="1">
      <c r="A32" s="432"/>
      <c r="B32" s="432"/>
      <c r="C32" s="533" t="s">
        <v>206</v>
      </c>
      <c r="D32" s="534">
        <f t="shared" ref="D32:O32" si="12">(D31-D30)*1000</f>
        <v>1.5166853344550368</v>
      </c>
      <c r="E32" s="535">
        <f t="shared" si="12"/>
        <v>-4.8139495668264036</v>
      </c>
      <c r="F32" s="535">
        <f t="shared" si="12"/>
        <v>5.9923857861565182</v>
      </c>
      <c r="G32" s="535">
        <f t="shared" si="12"/>
        <v>0.69031799913421565</v>
      </c>
      <c r="H32" s="535">
        <f t="shared" si="12"/>
        <v>-5.2176847458713649</v>
      </c>
      <c r="I32" s="535">
        <f t="shared" si="12"/>
        <v>-1.7344524179017107</v>
      </c>
      <c r="J32" s="535">
        <f t="shared" si="12"/>
        <v>0.68165800857050707</v>
      </c>
      <c r="K32" s="535">
        <f t="shared" si="12"/>
        <v>3.1246521318931131</v>
      </c>
      <c r="L32" s="535">
        <f t="shared" si="12"/>
        <v>1.9161710754715955</v>
      </c>
      <c r="M32" s="535">
        <f t="shared" si="12"/>
        <v>0.19605597874761127</v>
      </c>
      <c r="N32" s="535">
        <f t="shared" si="12"/>
        <v>-1.6656384678223612</v>
      </c>
      <c r="O32" s="536">
        <f t="shared" si="12"/>
        <v>-0.63414775736816975</v>
      </c>
      <c r="Q32" s="432"/>
      <c r="R32" s="537"/>
      <c r="S32" s="538" t="s">
        <v>206</v>
      </c>
      <c r="T32" s="489"/>
      <c r="U32" s="432"/>
    </row>
    <row r="33" spans="1:21" ht="19" thickBot="1">
      <c r="A33" s="432"/>
      <c r="B33" s="432"/>
      <c r="C33" s="539" t="s">
        <v>309</v>
      </c>
      <c r="D33" s="540">
        <f t="shared" ref="D33:O33" si="13">D32*D32</f>
        <v>2.3003344037509867</v>
      </c>
      <c r="E33" s="541">
        <f t="shared" si="13"/>
        <v>23.174110431948119</v>
      </c>
      <c r="F33" s="541">
        <f t="shared" si="13"/>
        <v>35.908687410130675</v>
      </c>
      <c r="G33" s="541">
        <f t="shared" si="13"/>
        <v>0.47653893992866697</v>
      </c>
      <c r="H33" s="541">
        <f t="shared" si="13"/>
        <v>27.224234107298731</v>
      </c>
      <c r="I33" s="541">
        <f t="shared" si="13"/>
        <v>3.0083251899650905</v>
      </c>
      <c r="J33" s="541">
        <f t="shared" si="13"/>
        <v>0.4646576406483095</v>
      </c>
      <c r="K33" s="541">
        <f t="shared" si="13"/>
        <v>9.7634509453441769</v>
      </c>
      <c r="L33" s="541">
        <f t="shared" si="13"/>
        <v>3.6717115904739708</v>
      </c>
      <c r="M33" s="541">
        <f t="shared" si="13"/>
        <v>3.8437946802683802E-2</v>
      </c>
      <c r="N33" s="541">
        <f t="shared" si="13"/>
        <v>2.7743515054896233</v>
      </c>
      <c r="O33" s="542">
        <f t="shared" si="13"/>
        <v>0.40214337817507911</v>
      </c>
      <c r="P33" s="543">
        <f>SUM(D33:O33)</f>
        <v>109.20698348995613</v>
      </c>
      <c r="Q33" s="544" t="s">
        <v>149</v>
      </c>
      <c r="R33" s="545"/>
      <c r="S33" s="538" t="s">
        <v>309</v>
      </c>
      <c r="T33" s="489"/>
      <c r="U33" s="432"/>
    </row>
    <row r="34" spans="1:21">
      <c r="A34" s="432"/>
      <c r="B34" s="432"/>
      <c r="C34" s="546" t="s">
        <v>210</v>
      </c>
      <c r="D34" s="547">
        <f t="shared" ref="D34:O34" si="14">D22</f>
        <v>1.4712445073904774E-2</v>
      </c>
      <c r="E34" s="548">
        <f t="shared" si="14"/>
        <v>0.14712445073904773</v>
      </c>
      <c r="F34" s="548">
        <f t="shared" si="14"/>
        <v>0.29424890147809546</v>
      </c>
      <c r="G34" s="548">
        <f t="shared" si="14"/>
        <v>0.44137335221714319</v>
      </c>
      <c r="H34" s="548">
        <f t="shared" si="14"/>
        <v>0.58849780295619092</v>
      </c>
      <c r="I34" s="548">
        <f t="shared" si="14"/>
        <v>0.73562225369523859</v>
      </c>
      <c r="J34" s="548">
        <f t="shared" si="14"/>
        <v>0.88274670443428638</v>
      </c>
      <c r="K34" s="548">
        <f t="shared" si="14"/>
        <v>1.1769956059123818</v>
      </c>
      <c r="L34" s="548">
        <f t="shared" si="14"/>
        <v>1.4712445073904772</v>
      </c>
      <c r="M34" s="548">
        <f t="shared" si="14"/>
        <v>1.9126178596076204</v>
      </c>
      <c r="N34" s="548">
        <f t="shared" si="14"/>
        <v>2.3539912118247632</v>
      </c>
      <c r="O34" s="549">
        <f t="shared" si="14"/>
        <v>2.9424890147809544</v>
      </c>
      <c r="Q34" s="432"/>
      <c r="R34" s="411" t="s">
        <v>210</v>
      </c>
      <c r="S34" s="481" t="s">
        <v>310</v>
      </c>
      <c r="T34" s="482"/>
      <c r="U34" s="432"/>
    </row>
    <row r="35" spans="1:21">
      <c r="A35" s="432"/>
      <c r="B35" s="432"/>
      <c r="C35" s="550" t="s">
        <v>311</v>
      </c>
      <c r="D35" s="551">
        <f t="shared" ref="D35:O36" si="15">D30</f>
        <v>-0.19255470146450859</v>
      </c>
      <c r="E35" s="552">
        <f t="shared" si="15"/>
        <v>-0.2776240665632273</v>
      </c>
      <c r="F35" s="552">
        <f t="shared" si="15"/>
        <v>-0.33723040191621018</v>
      </c>
      <c r="G35" s="552">
        <f t="shared" si="15"/>
        <v>-0.35172833412918791</v>
      </c>
      <c r="H35" s="552">
        <f t="shared" si="15"/>
        <v>-0.3404203313841816</v>
      </c>
      <c r="I35" s="552">
        <f t="shared" si="15"/>
        <v>-0.31950356371215127</v>
      </c>
      <c r="J35" s="552">
        <f t="shared" si="15"/>
        <v>-0.29661967413862383</v>
      </c>
      <c r="K35" s="552">
        <f t="shared" si="15"/>
        <v>-0.25476266826194666</v>
      </c>
      <c r="L35" s="552">
        <f t="shared" si="15"/>
        <v>-0.22105418720552539</v>
      </c>
      <c r="M35" s="552">
        <f t="shared" si="15"/>
        <v>-0.18323407210880116</v>
      </c>
      <c r="N35" s="552">
        <f t="shared" si="15"/>
        <v>-0.15597237766223088</v>
      </c>
      <c r="O35" s="553">
        <f t="shared" si="15"/>
        <v>-0.12990386837268517</v>
      </c>
      <c r="Q35" s="432"/>
      <c r="R35" s="554" t="s">
        <v>312</v>
      </c>
      <c r="S35" s="502"/>
      <c r="T35" s="489"/>
      <c r="U35" s="432"/>
    </row>
    <row r="36" spans="1:21" ht="19" thickBot="1">
      <c r="A36" s="432"/>
      <c r="B36" s="432"/>
      <c r="C36" s="555" t="s">
        <v>313</v>
      </c>
      <c r="D36" s="556">
        <f t="shared" si="15"/>
        <v>-0.19103801613005356</v>
      </c>
      <c r="E36" s="557">
        <f t="shared" si="15"/>
        <v>-0.2824380161300537</v>
      </c>
      <c r="F36" s="557">
        <f t="shared" si="15"/>
        <v>-0.33123801613005366</v>
      </c>
      <c r="G36" s="557">
        <f t="shared" si="15"/>
        <v>-0.3510380161300537</v>
      </c>
      <c r="H36" s="557">
        <f t="shared" si="15"/>
        <v>-0.34563801613005296</v>
      </c>
      <c r="I36" s="557">
        <f t="shared" si="15"/>
        <v>-0.32123801613005298</v>
      </c>
      <c r="J36" s="557">
        <f t="shared" si="15"/>
        <v>-0.29593801613005333</v>
      </c>
      <c r="K36" s="557">
        <f t="shared" si="15"/>
        <v>-0.25163801613005354</v>
      </c>
      <c r="L36" s="557">
        <f t="shared" si="15"/>
        <v>-0.21913801613005379</v>
      </c>
      <c r="M36" s="557">
        <f t="shared" si="15"/>
        <v>-0.18303801613005355</v>
      </c>
      <c r="N36" s="557">
        <f t="shared" si="15"/>
        <v>-0.15763801613005324</v>
      </c>
      <c r="O36" s="558">
        <f t="shared" si="15"/>
        <v>-0.13053801613005334</v>
      </c>
      <c r="Q36" s="432"/>
      <c r="R36" s="303" t="s">
        <v>314</v>
      </c>
      <c r="S36" s="559"/>
      <c r="T36" s="505"/>
      <c r="U36" s="432"/>
    </row>
    <row r="37" spans="1:21">
      <c r="A37" s="432"/>
      <c r="B37" s="560"/>
      <c r="C37" s="561" t="s">
        <v>315</v>
      </c>
      <c r="D37" s="562">
        <f>D26/D$21</f>
        <v>0.68092604736790696</v>
      </c>
      <c r="E37" s="563">
        <f>E26/E$21</f>
        <v>0.72376074549819769</v>
      </c>
      <c r="F37" s="563">
        <f t="shared" ref="F37:O38" si="16">F26/F$21</f>
        <v>0.72362349987191987</v>
      </c>
      <c r="G37" s="563">
        <f t="shared" si="16"/>
        <v>0.6860017881283782</v>
      </c>
      <c r="H37" s="563">
        <f t="shared" si="16"/>
        <v>0.6354415827448604</v>
      </c>
      <c r="I37" s="563">
        <f t="shared" si="16"/>
        <v>0.58540774688835839</v>
      </c>
      <c r="J37" s="563">
        <f t="shared" si="16"/>
        <v>0.54039504653702941</v>
      </c>
      <c r="K37" s="563">
        <f t="shared" si="16"/>
        <v>0.46728068470551909</v>
      </c>
      <c r="L37" s="563">
        <f t="shared" si="16"/>
        <v>0.41252378862423711</v>
      </c>
      <c r="M37" s="563">
        <f t="shared" si="16"/>
        <v>0.35339669178987854</v>
      </c>
      <c r="N37" s="563">
        <f t="shared" si="16"/>
        <v>0.31172830136544361</v>
      </c>
      <c r="O37" s="564">
        <f t="shared" si="16"/>
        <v>0.27238058839932411</v>
      </c>
      <c r="Q37" s="432"/>
      <c r="R37" s="565" t="s">
        <v>218</v>
      </c>
      <c r="S37" s="488" t="s">
        <v>316</v>
      </c>
      <c r="T37" s="489"/>
      <c r="U37" s="432"/>
    </row>
    <row r="38" spans="1:21">
      <c r="A38" s="432"/>
      <c r="B38" s="560"/>
      <c r="C38" s="566" t="s">
        <v>317</v>
      </c>
      <c r="D38" s="567">
        <f>D27/D$21</f>
        <v>0.3268554784006803</v>
      </c>
      <c r="E38" s="568">
        <f>E27/E$21</f>
        <v>0.3233535229945752</v>
      </c>
      <c r="F38" s="568">
        <f t="shared" si="16"/>
        <v>0.29407004412483945</v>
      </c>
      <c r="G38" s="568">
        <f t="shared" si="16"/>
        <v>0.25471248939464974</v>
      </c>
      <c r="H38" s="568">
        <f t="shared" si="16"/>
        <v>0.21851814647934961</v>
      </c>
      <c r="I38" s="568">
        <f t="shared" si="16"/>
        <v>0.18890526544336944</v>
      </c>
      <c r="J38" s="568">
        <f t="shared" si="16"/>
        <v>0.1653237755535697</v>
      </c>
      <c r="K38" s="568">
        <f t="shared" si="16"/>
        <v>0.13125369900492598</v>
      </c>
      <c r="L38" s="568">
        <f t="shared" si="16"/>
        <v>0.10834031974895986</v>
      </c>
      <c r="M38" s="568">
        <f t="shared" si="16"/>
        <v>8.5589574788923706E-2</v>
      </c>
      <c r="N38" s="568">
        <f t="shared" si="16"/>
        <v>7.0624559252128932E-2</v>
      </c>
      <c r="O38" s="569">
        <f t="shared" si="16"/>
        <v>5.7215186186304307E-2</v>
      </c>
      <c r="Q38" s="432"/>
      <c r="R38" s="565"/>
      <c r="S38" s="488" t="s">
        <v>318</v>
      </c>
      <c r="T38" s="489"/>
      <c r="U38" s="432"/>
    </row>
    <row r="39" spans="1:21" ht="19" thickBot="1">
      <c r="A39" s="432"/>
      <c r="B39" s="560"/>
      <c r="C39" s="570" t="s">
        <v>319</v>
      </c>
      <c r="D39" s="571">
        <f>2*D28/D$21</f>
        <v>1.6281681574947571E-2</v>
      </c>
      <c r="E39" s="572">
        <f>2*E28/E$21</f>
        <v>0.16867891526395581</v>
      </c>
      <c r="F39" s="572">
        <f t="shared" ref="F39:O39" si="17">2*F28/F$21</f>
        <v>0.3018003700687143</v>
      </c>
      <c r="G39" s="572">
        <f t="shared" si="17"/>
        <v>0.36582569489512512</v>
      </c>
      <c r="H39" s="572">
        <f t="shared" si="17"/>
        <v>0.38155853227175668</v>
      </c>
      <c r="I39" s="572">
        <f t="shared" si="17"/>
        <v>0.37400481137660807</v>
      </c>
      <c r="J39" s="572">
        <f t="shared" si="17"/>
        <v>0.35708532456440528</v>
      </c>
      <c r="K39" s="572">
        <f t="shared" si="17"/>
        <v>0.3172403850356737</v>
      </c>
      <c r="L39" s="572">
        <f t="shared" si="17"/>
        <v>0.28071077517617493</v>
      </c>
      <c r="M39" s="572">
        <f t="shared" si="17"/>
        <v>0.2368218958596793</v>
      </c>
      <c r="N39" s="572">
        <f t="shared" si="17"/>
        <v>0.20377757361661741</v>
      </c>
      <c r="O39" s="573">
        <f t="shared" si="17"/>
        <v>0.17129531727607658</v>
      </c>
      <c r="Q39" s="432"/>
      <c r="R39" s="565"/>
      <c r="S39" s="488" t="s">
        <v>320</v>
      </c>
      <c r="T39" s="489"/>
      <c r="U39" s="432"/>
    </row>
    <row r="40" spans="1:21">
      <c r="A40" s="432"/>
      <c r="B40" s="432"/>
      <c r="C40" s="574" t="s">
        <v>321</v>
      </c>
      <c r="D40" s="567">
        <f t="shared" ref="D40:O41" si="18">D26/D$20</f>
        <v>1.0018087071291412E-2</v>
      </c>
      <c r="E40" s="568">
        <f t="shared" si="18"/>
        <v>0.10648290214790605</v>
      </c>
      <c r="F40" s="568">
        <f t="shared" si="18"/>
        <v>0.21292541992104713</v>
      </c>
      <c r="G40" s="568">
        <f t="shared" si="18"/>
        <v>0.30278290885317666</v>
      </c>
      <c r="H40" s="568">
        <f t="shared" si="18"/>
        <v>0.37395597535235492</v>
      </c>
      <c r="I40" s="568">
        <f t="shared" si="18"/>
        <v>0.43063896609666602</v>
      </c>
      <c r="J40" s="568">
        <f t="shared" si="18"/>
        <v>0.47703194642317548</v>
      </c>
      <c r="K40" s="568">
        <f t="shared" si="18"/>
        <v>0.5499873126261251</v>
      </c>
      <c r="L40" s="568">
        <f t="shared" si="18"/>
        <v>0.60692335818131904</v>
      </c>
      <c r="M40" s="568">
        <f t="shared" si="18"/>
        <v>0.67591282424357135</v>
      </c>
      <c r="N40" s="568">
        <f t="shared" si="18"/>
        <v>0.73380568189131556</v>
      </c>
      <c r="O40" s="569">
        <f t="shared" si="18"/>
        <v>0.80147688920458393</v>
      </c>
      <c r="Q40" s="432"/>
      <c r="R40" s="575" t="s">
        <v>322</v>
      </c>
      <c r="S40" s="576" t="s">
        <v>323</v>
      </c>
      <c r="T40" s="577"/>
      <c r="U40" s="432"/>
    </row>
    <row r="41" spans="1:21">
      <c r="A41" s="432"/>
      <c r="B41" s="432"/>
      <c r="C41" s="566" t="s">
        <v>324</v>
      </c>
      <c r="D41" s="567">
        <f t="shared" si="18"/>
        <v>4.8088432730748771E-3</v>
      </c>
      <c r="E41" s="568">
        <f t="shared" si="18"/>
        <v>4.7573209465112919E-2</v>
      </c>
      <c r="F41" s="568">
        <f t="shared" si="18"/>
        <v>8.6529787441349065E-2</v>
      </c>
      <c r="G41" s="568">
        <f t="shared" si="18"/>
        <v>0.1124233052956901</v>
      </c>
      <c r="H41" s="568">
        <f t="shared" si="18"/>
        <v>0.12859744910915635</v>
      </c>
      <c r="I41" s="568">
        <f t="shared" si="18"/>
        <v>0.13896291710034869</v>
      </c>
      <c r="J41" s="568">
        <f t="shared" si="18"/>
        <v>0.14593901803454726</v>
      </c>
      <c r="K41" s="568">
        <f t="shared" si="18"/>
        <v>0.15448502698854424</v>
      </c>
      <c r="L41" s="568">
        <f t="shared" si="18"/>
        <v>0.15939510035958523</v>
      </c>
      <c r="M41" s="568">
        <f t="shared" si="18"/>
        <v>0.16370014933751761</v>
      </c>
      <c r="N41" s="568">
        <f t="shared" si="18"/>
        <v>0.16624959181850879</v>
      </c>
      <c r="O41" s="569">
        <f t="shared" si="18"/>
        <v>0.16835505683184743</v>
      </c>
      <c r="Q41" s="432"/>
      <c r="R41" s="565"/>
      <c r="S41" s="488" t="s">
        <v>325</v>
      </c>
      <c r="T41" s="489"/>
      <c r="U41" s="432"/>
    </row>
    <row r="42" spans="1:21" ht="19" thickBot="1">
      <c r="A42" s="432"/>
      <c r="B42" s="432"/>
      <c r="C42" s="570" t="s">
        <v>326</v>
      </c>
      <c r="D42" s="571">
        <f t="shared" ref="D42:O42" si="19">2*D28/D$20</f>
        <v>2.3954334588222352E-4</v>
      </c>
      <c r="E42" s="572">
        <f t="shared" si="19"/>
        <v>2.4816792759467875E-2</v>
      </c>
      <c r="F42" s="572">
        <f t="shared" si="19"/>
        <v>8.8804427358401855E-2</v>
      </c>
      <c r="G42" s="572">
        <f t="shared" si="19"/>
        <v>0.16146571328302722</v>
      </c>
      <c r="H42" s="572">
        <f t="shared" si="19"/>
        <v>0.22454635794111766</v>
      </c>
      <c r="I42" s="572">
        <f t="shared" si="19"/>
        <v>0.27512626223772307</v>
      </c>
      <c r="J42" s="572">
        <f t="shared" si="19"/>
        <v>0.31521589346107631</v>
      </c>
      <c r="K42" s="572">
        <f t="shared" si="19"/>
        <v>0.37339053920494003</v>
      </c>
      <c r="L42" s="572">
        <f t="shared" si="19"/>
        <v>0.41299418614327049</v>
      </c>
      <c r="M42" s="572">
        <f t="shared" si="19"/>
        <v>0.45294978756735865</v>
      </c>
      <c r="N42" s="572">
        <f t="shared" si="19"/>
        <v>0.47969061746049119</v>
      </c>
      <c r="O42" s="573">
        <f t="shared" si="19"/>
        <v>0.50403458936827361</v>
      </c>
      <c r="Q42" s="432"/>
      <c r="R42" s="578"/>
      <c r="S42" s="579" t="s">
        <v>327</v>
      </c>
      <c r="T42" s="505"/>
      <c r="U42" s="432"/>
    </row>
    <row r="43" spans="1:21" ht="19" thickBot="1">
      <c r="A43" s="432"/>
      <c r="B43" s="432"/>
      <c r="C43" s="292"/>
      <c r="D43" s="292"/>
      <c r="E43" s="292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Q43" s="432"/>
      <c r="R43" s="432"/>
      <c r="S43" s="432"/>
      <c r="T43" s="432"/>
      <c r="U43" s="432"/>
    </row>
    <row r="44" spans="1:21" ht="19" thickBot="1">
      <c r="A44" s="432"/>
      <c r="B44" s="432"/>
      <c r="C44" s="580" t="s">
        <v>328</v>
      </c>
      <c r="D44" s="581" t="s">
        <v>225</v>
      </c>
      <c r="E44" s="582"/>
      <c r="F44" s="583"/>
      <c r="G44" s="583"/>
      <c r="H44" s="583"/>
      <c r="I44" s="583"/>
      <c r="J44" s="583"/>
      <c r="K44" s="583"/>
      <c r="L44" s="583"/>
      <c r="M44" s="583"/>
      <c r="N44" s="583"/>
      <c r="O44" s="584"/>
      <c r="Q44" s="432"/>
      <c r="R44" s="432"/>
      <c r="S44" s="432"/>
      <c r="T44" s="432"/>
      <c r="U44" s="432"/>
    </row>
    <row r="45" spans="1:21">
      <c r="A45" s="432"/>
      <c r="B45" s="432"/>
      <c r="C45" s="585" t="s">
        <v>329</v>
      </c>
      <c r="D45" s="586">
        <f>D23</f>
        <v>-3.2159039708971396E-3</v>
      </c>
      <c r="E45" s="587">
        <f t="shared" ref="E45:O45" si="20">E23</f>
        <v>-1.658522122317855E-3</v>
      </c>
      <c r="F45" s="587">
        <f t="shared" si="20"/>
        <v>1.8873022836534154E-5</v>
      </c>
      <c r="G45" s="587">
        <f t="shared" si="20"/>
        <v>1.6430175284622129E-3</v>
      </c>
      <c r="H45" s="587">
        <f t="shared" si="20"/>
        <v>3.2164075182870896E-3</v>
      </c>
      <c r="I45" s="587">
        <f t="shared" si="20"/>
        <v>4.7413855084250476E-3</v>
      </c>
      <c r="J45" s="587">
        <f t="shared" si="20"/>
        <v>6.2201520443163991E-3</v>
      </c>
      <c r="K45" s="587">
        <f t="shared" si="20"/>
        <v>9.0472057158733979E-3</v>
      </c>
      <c r="L45" s="587">
        <f t="shared" si="20"/>
        <v>1.1712713463341422E-2</v>
      </c>
      <c r="M45" s="587">
        <f t="shared" si="20"/>
        <v>1.5437121548844692E-2</v>
      </c>
      <c r="N45" s="587">
        <f t="shared" si="20"/>
        <v>1.8867497417071385E-2</v>
      </c>
      <c r="O45" s="588">
        <f t="shared" si="20"/>
        <v>2.3041121390080532E-2</v>
      </c>
      <c r="Q45" s="432"/>
      <c r="R45" s="589" t="s">
        <v>225</v>
      </c>
      <c r="S45" s="590" t="s">
        <v>227</v>
      </c>
      <c r="T45" s="591"/>
      <c r="U45" s="432"/>
    </row>
    <row r="46" spans="1:21">
      <c r="A46" s="432"/>
      <c r="B46" s="432"/>
      <c r="C46" s="585" t="s">
        <v>225</v>
      </c>
      <c r="D46" s="586">
        <f t="shared" ref="D46:O47" si="21">D24</f>
        <v>3.9384601637116931E-5</v>
      </c>
      <c r="E46" s="587">
        <f t="shared" si="21"/>
        <v>3.7517349305356863E-5</v>
      </c>
      <c r="F46" s="587">
        <f t="shared" si="21"/>
        <v>3.5506204768819578E-5</v>
      </c>
      <c r="G46" s="587">
        <f t="shared" si="21"/>
        <v>3.3558906090585076E-5</v>
      </c>
      <c r="H46" s="587">
        <f t="shared" si="21"/>
        <v>3.1672460496045394E-5</v>
      </c>
      <c r="I46" s="587">
        <f t="shared" si="21"/>
        <v>2.9844059381337705E-5</v>
      </c>
      <c r="J46" s="587">
        <f t="shared" si="21"/>
        <v>2.8071064361015099E-5</v>
      </c>
      <c r="K46" s="587">
        <f t="shared" si="21"/>
        <v>2.4681515057457171E-5</v>
      </c>
      <c r="L46" s="587">
        <f t="shared" si="21"/>
        <v>2.1485654285531124E-5</v>
      </c>
      <c r="M46" s="587">
        <f t="shared" si="21"/>
        <v>1.7020204987771447E-5</v>
      </c>
      <c r="N46" s="587">
        <f t="shared" si="21"/>
        <v>1.2907291160887531E-5</v>
      </c>
      <c r="O46" s="588">
        <f t="shared" si="21"/>
        <v>7.903246004845435E-6</v>
      </c>
      <c r="Q46" s="432"/>
      <c r="R46" s="592" t="s">
        <v>330</v>
      </c>
      <c r="S46" s="593" t="s">
        <v>229</v>
      </c>
      <c r="T46" s="594"/>
      <c r="U46" s="432"/>
    </row>
    <row r="47" spans="1:21" ht="19" thickBot="1">
      <c r="A47" s="432"/>
      <c r="B47" s="432"/>
      <c r="C47" s="585"/>
      <c r="D47" s="595">
        <f t="shared" si="21"/>
        <v>-2.2223923128382461E-9</v>
      </c>
      <c r="E47" s="596">
        <f t="shared" si="21"/>
        <v>-2.1896029180586652E-8</v>
      </c>
      <c r="F47" s="596">
        <f t="shared" si="21"/>
        <v>-4.308573483921889E-8</v>
      </c>
      <c r="G47" s="596">
        <f t="shared" si="21"/>
        <v>-6.3602751429323136E-8</v>
      </c>
      <c r="H47" s="596">
        <f t="shared" si="21"/>
        <v>-8.3478611250986617E-8</v>
      </c>
      <c r="I47" s="596">
        <f t="shared" si="21"/>
        <v>-1.0274290615506044E-7</v>
      </c>
      <c r="J47" s="596">
        <f t="shared" si="21"/>
        <v>-1.2142343454688963E-7</v>
      </c>
      <c r="K47" s="596">
        <f t="shared" si="21"/>
        <v>-1.5713620941362186E-7</v>
      </c>
      <c r="L47" s="596">
        <f t="shared" si="21"/>
        <v>-1.9080825428796938E-7</v>
      </c>
      <c r="M47" s="596">
        <f t="shared" si="21"/>
        <v>-2.3785686493431802E-7</v>
      </c>
      <c r="N47" s="596">
        <f t="shared" si="21"/>
        <v>-2.8119111158227067E-7</v>
      </c>
      <c r="O47" s="597">
        <f t="shared" si="21"/>
        <v>-3.3391444500394647E-7</v>
      </c>
      <c r="Q47" s="432"/>
      <c r="R47" s="592"/>
      <c r="S47" s="593" t="s">
        <v>230</v>
      </c>
      <c r="T47" s="594"/>
      <c r="U47" s="432"/>
    </row>
    <row r="48" spans="1:21">
      <c r="A48" s="432"/>
      <c r="B48" s="432"/>
      <c r="C48" s="598"/>
      <c r="D48" s="599">
        <f>(3*D46-D45^2)/9</f>
        <v>1.1979085173479867E-5</v>
      </c>
      <c r="E48" s="600">
        <f t="shared" ref="E48:O48" si="22">(3*E46-E45^2)/9</f>
        <v>1.2200150253983651E-5</v>
      </c>
      <c r="F48" s="600">
        <f t="shared" si="22"/>
        <v>1.183536201282975E-5</v>
      </c>
      <c r="G48" s="600">
        <f t="shared" si="22"/>
        <v>1.0886356852546796E-5</v>
      </c>
      <c r="H48" s="600">
        <f t="shared" si="22"/>
        <v>9.4080115738269412E-6</v>
      </c>
      <c r="I48" s="600">
        <f t="shared" si="22"/>
        <v>7.4501601782788954E-6</v>
      </c>
      <c r="J48" s="600">
        <f t="shared" si="22"/>
        <v>5.0581001809590905E-6</v>
      </c>
      <c r="K48" s="600">
        <f t="shared" si="22"/>
        <v>-8.6748734366230659E-7</v>
      </c>
      <c r="L48" s="600">
        <f t="shared" si="22"/>
        <v>-8.0811882019717811E-6</v>
      </c>
      <c r="M48" s="600">
        <f t="shared" si="22"/>
        <v>-2.0804900750054534E-5</v>
      </c>
      <c r="N48" s="600">
        <f t="shared" si="22"/>
        <v>-3.5251176144503645E-5</v>
      </c>
      <c r="O48" s="601">
        <f t="shared" si="22"/>
        <v>-5.6353726321987811E-5</v>
      </c>
      <c r="Q48" s="432"/>
      <c r="R48" s="602"/>
      <c r="S48" s="603" t="s">
        <v>231</v>
      </c>
      <c r="T48" s="604"/>
      <c r="U48" s="432"/>
    </row>
    <row r="49" spans="1:21">
      <c r="A49" s="432"/>
      <c r="B49" s="432"/>
      <c r="C49" s="602"/>
      <c r="D49" s="599">
        <f>(9*D45*D46-27*D47-2*D45^3)/54</f>
        <v>-1.8766505080228657E-8</v>
      </c>
      <c r="E49" s="600">
        <f t="shared" ref="E49:O49" si="23">(9*E45*E46-27*E47-2*E45^3)/54</f>
        <v>7.4642190447872257E-10</v>
      </c>
      <c r="F49" s="600">
        <f t="shared" si="23"/>
        <v>2.165455207287174E-8</v>
      </c>
      <c r="G49" s="600">
        <f t="shared" si="23"/>
        <v>4.0826749143651747E-8</v>
      </c>
      <c r="H49" s="600">
        <f t="shared" si="23"/>
        <v>5.7485502015008024E-8</v>
      </c>
      <c r="I49" s="600">
        <f t="shared" si="23"/>
        <v>7.1007379727067598E-8</v>
      </c>
      <c r="J49" s="600">
        <f t="shared" si="23"/>
        <v>8.0899450687722825E-8</v>
      </c>
      <c r="K49" s="600">
        <f t="shared" si="23"/>
        <v>8.8357478339036758E-8</v>
      </c>
      <c r="L49" s="600">
        <f t="shared" si="23"/>
        <v>7.7834097205132218E-8</v>
      </c>
      <c r="M49" s="600">
        <f t="shared" si="23"/>
        <v>2.64693370805495E-8</v>
      </c>
      <c r="N49" s="600">
        <f t="shared" si="23"/>
        <v>-6.7575586791724173E-8</v>
      </c>
      <c r="O49" s="601">
        <f t="shared" si="23"/>
        <v>-2.5574381323338638E-7</v>
      </c>
      <c r="Q49" s="432"/>
      <c r="R49" s="602"/>
      <c r="S49" s="603" t="s">
        <v>232</v>
      </c>
      <c r="T49" s="604"/>
      <c r="U49" s="432"/>
    </row>
    <row r="50" spans="1:21" ht="19" thickBot="1">
      <c r="A50" s="432"/>
      <c r="B50" s="432"/>
      <c r="C50" s="605"/>
      <c r="D50" s="599">
        <f>D48^3+D49^2</f>
        <v>2.0711622461996396E-15</v>
      </c>
      <c r="E50" s="600">
        <f t="shared" ref="E50:O50" si="24">E48^3+E49^2</f>
        <v>1.8164722378945599E-15</v>
      </c>
      <c r="F50" s="600">
        <f t="shared" si="24"/>
        <v>2.1267673564022406E-15</v>
      </c>
      <c r="G50" s="600">
        <f t="shared" si="24"/>
        <v>2.9569957026823978E-15</v>
      </c>
      <c r="H50" s="600">
        <f t="shared" si="24"/>
        <v>4.1372924604476511E-15</v>
      </c>
      <c r="I50" s="600">
        <f t="shared" si="24"/>
        <v>5.4555682721621833E-15</v>
      </c>
      <c r="J50" s="600">
        <f t="shared" si="24"/>
        <v>6.6741294657374149E-15</v>
      </c>
      <c r="K50" s="600">
        <f t="shared" si="24"/>
        <v>7.8063911644598756E-15</v>
      </c>
      <c r="L50" s="600">
        <f t="shared" si="24"/>
        <v>5.5303998212260501E-15</v>
      </c>
      <c r="M50" s="600">
        <f t="shared" si="24"/>
        <v>-8.3046484748274399E-15</v>
      </c>
      <c r="N50" s="600">
        <f t="shared" si="24"/>
        <v>-3.9238252640205865E-14</v>
      </c>
      <c r="O50" s="601">
        <f t="shared" si="24"/>
        <v>-1.1356002403738859E-13</v>
      </c>
      <c r="Q50" s="432"/>
      <c r="R50" s="602"/>
      <c r="S50" s="603" t="s">
        <v>233</v>
      </c>
      <c r="T50" s="604"/>
      <c r="U50" s="432"/>
    </row>
    <row r="51" spans="1:21">
      <c r="A51" s="432"/>
      <c r="B51" s="432"/>
      <c r="C51" s="598"/>
      <c r="D51" s="606">
        <f>(D49+(D48^3+D49^2)^0.5)^(0.333333333333333)</f>
        <v>2.9904704464100672E-3</v>
      </c>
      <c r="E51" s="607">
        <f t="shared" ref="E51:O51" si="25">(E49+(E48^3+E49^2)^0.5)^(0.333333333333333)</f>
        <v>3.5133237417153814E-3</v>
      </c>
      <c r="F51" s="607">
        <f t="shared" si="25"/>
        <v>4.0770769152900076E-3</v>
      </c>
      <c r="G51" s="607">
        <f t="shared" si="25"/>
        <v>4.5661825911369287E-3</v>
      </c>
      <c r="H51" s="607">
        <f t="shared" si="25"/>
        <v>4.9570628747091861E-3</v>
      </c>
      <c r="I51" s="607">
        <f t="shared" si="25"/>
        <v>5.2520076795797357E-3</v>
      </c>
      <c r="J51" s="607">
        <f t="shared" si="25"/>
        <v>5.4580253353263154E-3</v>
      </c>
      <c r="K51" s="607">
        <f t="shared" si="25"/>
        <v>5.6116177014936637E-3</v>
      </c>
      <c r="L51" s="607">
        <f t="shared" si="25"/>
        <v>5.3391518054984157E-3</v>
      </c>
      <c r="M51" s="607" t="e">
        <f t="shared" si="25"/>
        <v>#NUM!</v>
      </c>
      <c r="N51" s="607" t="e">
        <f t="shared" si="25"/>
        <v>#NUM!</v>
      </c>
      <c r="O51" s="608" t="e">
        <f t="shared" si="25"/>
        <v>#NUM!</v>
      </c>
      <c r="Q51" s="432"/>
      <c r="R51" s="609"/>
      <c r="S51" s="610" t="s">
        <v>234</v>
      </c>
      <c r="T51" s="611"/>
      <c r="U51" s="432"/>
    </row>
    <row r="52" spans="1:21">
      <c r="A52" s="432"/>
      <c r="B52" s="432"/>
      <c r="C52" s="602"/>
      <c r="D52" s="599">
        <f>(D49-(D48^3+D49^2)^0.5)^(0.333333333333333)</f>
        <v>-4.0057527362828121E-3</v>
      </c>
      <c r="E52" s="600">
        <f t="shared" ref="E52:O52" si="26">(E49-(E48^3+E49^2)^0.5)^(0.333333333333333)</f>
        <v>-3.4725380155337083E-3</v>
      </c>
      <c r="F52" s="600">
        <f t="shared" si="26"/>
        <v>-2.9029037859071224E-3</v>
      </c>
      <c r="G52" s="600">
        <f t="shared" si="26"/>
        <v>-2.3841264853660502E-3</v>
      </c>
      <c r="H52" s="600">
        <f t="shared" si="26"/>
        <v>-1.8979003921508648E-3</v>
      </c>
      <c r="I52" s="600">
        <f t="shared" si="26"/>
        <v>-1.4185356596575168E-3</v>
      </c>
      <c r="J52" s="600">
        <f t="shared" si="26"/>
        <v>-9.2672713485247242E-4</v>
      </c>
      <c r="K52" s="600">
        <f t="shared" si="26"/>
        <v>1.5458774809828718E-4</v>
      </c>
      <c r="L52" s="600">
        <f t="shared" si="26"/>
        <v>1.5135715365218938E-3</v>
      </c>
      <c r="M52" s="600" t="e">
        <f t="shared" si="26"/>
        <v>#NUM!</v>
      </c>
      <c r="N52" s="600" t="e">
        <f t="shared" si="26"/>
        <v>#NUM!</v>
      </c>
      <c r="O52" s="601" t="e">
        <f t="shared" si="26"/>
        <v>#NUM!</v>
      </c>
      <c r="Q52" s="432"/>
      <c r="R52" s="602"/>
      <c r="S52" s="603" t="s">
        <v>235</v>
      </c>
      <c r="T52" s="604"/>
      <c r="U52" s="432"/>
    </row>
    <row r="53" spans="1:21" ht="20">
      <c r="A53" s="432"/>
      <c r="B53" s="432"/>
      <c r="C53" s="602"/>
      <c r="D53" s="599" t="e">
        <f>D49/(-D48^3)^0.5</f>
        <v>#NUM!</v>
      </c>
      <c r="E53" s="600" t="e">
        <f t="shared" ref="E53:O53" si="27">E49/(-E48^3)^0.5</f>
        <v>#NUM!</v>
      </c>
      <c r="F53" s="600" t="e">
        <f t="shared" si="27"/>
        <v>#NUM!</v>
      </c>
      <c r="G53" s="600" t="e">
        <f t="shared" si="27"/>
        <v>#NUM!</v>
      </c>
      <c r="H53" s="600" t="e">
        <f t="shared" si="27"/>
        <v>#NUM!</v>
      </c>
      <c r="I53" s="600" t="e">
        <f t="shared" si="27"/>
        <v>#NUM!</v>
      </c>
      <c r="J53" s="600" t="e">
        <f t="shared" si="27"/>
        <v>#NUM!</v>
      </c>
      <c r="K53" s="600">
        <f t="shared" si="27"/>
        <v>109.3575046845628</v>
      </c>
      <c r="L53" s="600">
        <f t="shared" si="27"/>
        <v>3.3881065582399033</v>
      </c>
      <c r="M53" s="600">
        <f t="shared" si="27"/>
        <v>0.27892959235401926</v>
      </c>
      <c r="N53" s="600">
        <f t="shared" si="27"/>
        <v>-0.32287127452782383</v>
      </c>
      <c r="O53" s="601">
        <f t="shared" si="27"/>
        <v>-0.60453462257553592</v>
      </c>
      <c r="Q53" s="432"/>
      <c r="R53" s="602"/>
      <c r="S53" s="603" t="s">
        <v>236</v>
      </c>
      <c r="T53" s="604"/>
      <c r="U53" s="432"/>
    </row>
    <row r="54" spans="1:21" ht="21" thickBot="1">
      <c r="A54" s="432"/>
      <c r="B54" s="432"/>
      <c r="C54" s="605"/>
      <c r="D54" s="599" t="e">
        <f>ACOS(D53)</f>
        <v>#NUM!</v>
      </c>
      <c r="E54" s="600" t="e">
        <f t="shared" ref="E54:O54" si="28">ACOS(E53)</f>
        <v>#NUM!</v>
      </c>
      <c r="F54" s="600" t="e">
        <f t="shared" si="28"/>
        <v>#NUM!</v>
      </c>
      <c r="G54" s="600" t="e">
        <f t="shared" si="28"/>
        <v>#NUM!</v>
      </c>
      <c r="H54" s="600" t="e">
        <f t="shared" si="28"/>
        <v>#NUM!</v>
      </c>
      <c r="I54" s="600" t="e">
        <f t="shared" si="28"/>
        <v>#NUM!</v>
      </c>
      <c r="J54" s="600" t="e">
        <f t="shared" si="28"/>
        <v>#NUM!</v>
      </c>
      <c r="K54" s="600" t="e">
        <f t="shared" si="28"/>
        <v>#NUM!</v>
      </c>
      <c r="L54" s="600" t="e">
        <f t="shared" si="28"/>
        <v>#NUM!</v>
      </c>
      <c r="M54" s="600">
        <f t="shared" si="28"/>
        <v>1.2881170445347037</v>
      </c>
      <c r="N54" s="600">
        <f t="shared" si="28"/>
        <v>1.89955800408797</v>
      </c>
      <c r="O54" s="601">
        <f t="shared" si="28"/>
        <v>2.2199778444652289</v>
      </c>
      <c r="Q54" s="432"/>
      <c r="R54" s="612"/>
      <c r="S54" s="613" t="s">
        <v>237</v>
      </c>
      <c r="T54" s="614"/>
      <c r="U54" s="432"/>
    </row>
    <row r="55" spans="1:21">
      <c r="C55" s="602" t="s">
        <v>331</v>
      </c>
      <c r="D55" s="606">
        <f t="shared" ref="D55:O55" si="29">IF(D50&gt;=0,D51+D52-D45/3,2*(-D48)^0.5*COS(D54/3)-D45/3)</f>
        <v>5.6685700426301706E-5</v>
      </c>
      <c r="E55" s="607">
        <f t="shared" si="29"/>
        <v>5.9362643362095813E-4</v>
      </c>
      <c r="F55" s="607">
        <f t="shared" si="29"/>
        <v>1.1678821217707071E-3</v>
      </c>
      <c r="G55" s="607">
        <f t="shared" si="29"/>
        <v>1.6343835962834741E-3</v>
      </c>
      <c r="H55" s="607">
        <f t="shared" si="29"/>
        <v>1.9870266431292914E-3</v>
      </c>
      <c r="I55" s="607">
        <f t="shared" si="29"/>
        <v>2.2530101837805365E-3</v>
      </c>
      <c r="J55" s="607">
        <f t="shared" si="29"/>
        <v>2.4579141857017099E-3</v>
      </c>
      <c r="K55" s="607">
        <f t="shared" si="29"/>
        <v>2.7504702109674845E-3</v>
      </c>
      <c r="L55" s="607">
        <f t="shared" si="29"/>
        <v>2.9484855209065022E-3</v>
      </c>
      <c r="M55" s="607">
        <f t="shared" si="29"/>
        <v>3.1486980388465199E-3</v>
      </c>
      <c r="N55" s="607">
        <f t="shared" si="29"/>
        <v>3.283451949936839E-3</v>
      </c>
      <c r="O55" s="608">
        <f t="shared" si="29"/>
        <v>3.4069377951804671E-3</v>
      </c>
      <c r="Q55" s="432"/>
      <c r="R55" s="615" t="s">
        <v>332</v>
      </c>
      <c r="S55" s="616" t="s">
        <v>333</v>
      </c>
      <c r="T55" s="617"/>
      <c r="U55" s="432"/>
    </row>
    <row r="56" spans="1:21">
      <c r="C56" s="602" t="s">
        <v>332</v>
      </c>
      <c r="D56" s="599" t="str">
        <f t="shared" ref="D56:O56" si="30">IF(D50&gt;0,"", IF(D50=0,-(D51+D52)/2-D45/3, 2*(-D48)^0.5*COS(D54/3+PI()/3*2)-D45/3))</f>
        <v/>
      </c>
      <c r="E56" s="600" t="str">
        <f t="shared" si="30"/>
        <v/>
      </c>
      <c r="F56" s="600" t="str">
        <f t="shared" si="30"/>
        <v/>
      </c>
      <c r="G56" s="600" t="str">
        <f t="shared" si="30"/>
        <v/>
      </c>
      <c r="H56" s="600" t="str">
        <f t="shared" si="30"/>
        <v/>
      </c>
      <c r="I56" s="600" t="str">
        <f t="shared" si="30"/>
        <v/>
      </c>
      <c r="J56" s="600" t="str">
        <f t="shared" si="30"/>
        <v/>
      </c>
      <c r="K56" s="600" t="str">
        <f t="shared" si="30"/>
        <v/>
      </c>
      <c r="L56" s="600" t="str">
        <f t="shared" si="30"/>
        <v/>
      </c>
      <c r="M56" s="600">
        <f t="shared" si="30"/>
        <v>-1.2581805317066371E-2</v>
      </c>
      <c r="N56" s="600">
        <f t="shared" si="30"/>
        <v>-1.7160478414973604E-2</v>
      </c>
      <c r="O56" s="601">
        <f t="shared" si="30"/>
        <v>-2.1991288013282081E-2</v>
      </c>
      <c r="Q56" s="432"/>
      <c r="R56" s="602" t="s">
        <v>334</v>
      </c>
      <c r="S56" s="616" t="s">
        <v>335</v>
      </c>
      <c r="T56" s="617"/>
      <c r="U56" s="432"/>
    </row>
    <row r="57" spans="1:21" ht="19" thickBot="1">
      <c r="C57" s="612"/>
      <c r="D57" s="618" t="str">
        <f t="shared" ref="D57:O57" si="31">IF(D50&lt;0,2*(-D48)^0.5*COS(D54/3+PI()/3*4)-D45/3,"")</f>
        <v/>
      </c>
      <c r="E57" s="619" t="str">
        <f t="shared" si="31"/>
        <v/>
      </c>
      <c r="F57" s="619" t="str">
        <f t="shared" si="31"/>
        <v/>
      </c>
      <c r="G57" s="619" t="str">
        <f t="shared" si="31"/>
        <v/>
      </c>
      <c r="H57" s="619" t="str">
        <f t="shared" si="31"/>
        <v/>
      </c>
      <c r="I57" s="619" t="str">
        <f t="shared" si="31"/>
        <v/>
      </c>
      <c r="J57" s="619" t="str">
        <f t="shared" si="31"/>
        <v/>
      </c>
      <c r="K57" s="619" t="str">
        <f t="shared" si="31"/>
        <v/>
      </c>
      <c r="L57" s="619" t="str">
        <f t="shared" si="31"/>
        <v/>
      </c>
      <c r="M57" s="619">
        <f t="shared" si="31"/>
        <v>-6.0040142706248431E-3</v>
      </c>
      <c r="N57" s="619">
        <f t="shared" si="31"/>
        <v>-4.9904709520346216E-3</v>
      </c>
      <c r="O57" s="620">
        <f t="shared" si="31"/>
        <v>-4.4567711719789224E-3</v>
      </c>
      <c r="Q57" s="432"/>
      <c r="R57" s="612"/>
      <c r="S57" s="621" t="s">
        <v>336</v>
      </c>
      <c r="T57" s="622"/>
      <c r="U57" s="432"/>
    </row>
    <row r="58" spans="1:21">
      <c r="Q58" s="432"/>
      <c r="R58" s="432"/>
      <c r="S58" s="432"/>
      <c r="T58" s="432"/>
      <c r="U58" s="432"/>
    </row>
    <row r="59" spans="1:21">
      <c r="Q59" s="432"/>
      <c r="R59" s="432"/>
      <c r="S59" s="432"/>
      <c r="T59" s="432"/>
      <c r="U59" s="432"/>
    </row>
    <row r="60" spans="1:21">
      <c r="Q60" s="432"/>
      <c r="R60" s="432"/>
      <c r="S60" s="432"/>
      <c r="T60" s="432"/>
      <c r="U60" s="432"/>
    </row>
    <row r="61" spans="1:21">
      <c r="Q61" s="432"/>
      <c r="R61" s="432"/>
      <c r="S61" s="432"/>
      <c r="T61" s="432"/>
      <c r="U61" s="432"/>
    </row>
    <row r="62" spans="1:21">
      <c r="Q62" s="432"/>
      <c r="R62" s="432"/>
      <c r="S62" s="432"/>
      <c r="T62" s="432"/>
      <c r="U62" s="432"/>
    </row>
    <row r="63" spans="1:21">
      <c r="Q63" s="432"/>
      <c r="R63" s="432"/>
      <c r="S63" s="432"/>
      <c r="T63" s="432"/>
      <c r="U63" s="432"/>
    </row>
    <row r="64" spans="1:21">
      <c r="Q64" s="432"/>
      <c r="R64" s="432"/>
      <c r="S64" s="432"/>
      <c r="T64" s="432"/>
      <c r="U64" s="432"/>
    </row>
  </sheetData>
  <phoneticPr fontId="4"/>
  <printOptions gridLinesSet="0"/>
  <pageMargins left="0.7" right="0.7" top="0.41" bottom="0.28000000000000003" header="0.2" footer="0.21"/>
  <pageSetup paperSize="10" scale="42" orientation="landscape" horizontalDpi="4294967292" verticalDpi="4294967292"/>
  <headerFooter>
    <oddHeader>&amp;R&amp;9&amp;F&amp;A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APP-E1-1Job's plot</vt:lpstr>
      <vt:lpstr>APP-E2 Rose-Drago </vt:lpstr>
      <vt:lpstr>APP-E3 1to2 CompAnal</vt:lpstr>
      <vt:lpstr>APP-E4 1to1&amp;2to1MixCompAnal</vt:lpstr>
    </vt:vector>
  </TitlesOfParts>
  <Manager/>
  <Company>Osaka University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Fundamental Aspects of Host-Guest Complexation</dc:title>
  <dc:subject>–From 1:1 to Synergistic Binding–</dc:subject>
  <dc:creator>Keiji Hirose</dc:creator>
  <cp:keywords/>
  <dc:description/>
  <cp:lastModifiedBy>廣瀬 敬治</cp:lastModifiedBy>
  <dcterms:created xsi:type="dcterms:W3CDTF">2014-05-06T14:32:00Z</dcterms:created>
  <dcterms:modified xsi:type="dcterms:W3CDTF">2015-05-01T10:50:23Z</dcterms:modified>
  <cp:category/>
</cp:coreProperties>
</file>